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en\Desktop\DVST\BondsVsBondFunds\"/>
    </mc:Choice>
  </mc:AlternateContent>
  <bookViews>
    <workbookView xWindow="0" yWindow="0" windowWidth="22200" windowHeight="12345"/>
  </bookViews>
  <sheets>
    <sheet name="Sheet1" sheetId="9" r:id="rId1"/>
  </sheets>
  <calcPr calcId="152511"/>
</workbook>
</file>

<file path=xl/calcChain.xml><?xml version="1.0" encoding="utf-8"?>
<calcChain xmlns="http://schemas.openxmlformats.org/spreadsheetml/2006/main">
  <c r="H4" i="9" l="1"/>
  <c r="J4" i="9"/>
  <c r="AB57" i="9"/>
  <c r="AB56" i="9"/>
  <c r="AB55" i="9"/>
  <c r="AB54" i="9"/>
  <c r="AB53" i="9"/>
  <c r="AB52" i="9"/>
  <c r="AB51" i="9"/>
  <c r="AB50" i="9"/>
  <c r="AB49" i="9"/>
  <c r="AB48" i="9"/>
  <c r="AB47" i="9"/>
  <c r="AX46" i="9"/>
  <c r="AY50" i="9" s="1"/>
  <c r="I3" i="9"/>
  <c r="I4" i="9" s="1"/>
  <c r="K47" i="9"/>
  <c r="K3" i="9" l="1"/>
  <c r="K4" i="9" s="1"/>
  <c r="AQ45" i="9"/>
  <c r="AN49" i="9"/>
  <c r="AO49" i="9" s="1"/>
  <c r="AU49" i="9"/>
  <c r="AN48" i="9"/>
  <c r="AO48" i="9" s="1"/>
  <c r="AV49" i="9" l="1"/>
  <c r="AW49" i="9"/>
  <c r="AP49" i="9"/>
  <c r="AR49" i="9"/>
  <c r="AR50" i="9" s="1"/>
  <c r="AP48" i="9"/>
  <c r="AQ48" i="9" s="1"/>
  <c r="AN50" i="9"/>
  <c r="AO50" i="9" s="1"/>
  <c r="BB50" i="9"/>
  <c r="BC50" i="9" s="1"/>
  <c r="AU50" i="9"/>
  <c r="AQ49" i="9"/>
  <c r="L3" i="9"/>
  <c r="L4" i="9" s="1"/>
  <c r="BE47" i="9"/>
  <c r="M3" i="9" l="1"/>
  <c r="M4" i="9" s="1"/>
  <c r="BL48" i="9"/>
  <c r="AV50" i="9"/>
  <c r="AW50" i="9"/>
  <c r="AY51" i="9"/>
  <c r="AP50" i="9"/>
  <c r="AQ50" i="9" s="1"/>
  <c r="AX49" i="9"/>
  <c r="BD50" i="9"/>
  <c r="BE50" i="9" s="1"/>
  <c r="BF51" i="9"/>
  <c r="AX50" i="9" l="1"/>
  <c r="BM52" i="9"/>
  <c r="BB51" i="9"/>
  <c r="BF52" i="9" s="1"/>
  <c r="AU51" i="9"/>
  <c r="BI51" i="9"/>
  <c r="BJ51" i="9" s="1"/>
  <c r="N3" i="9"/>
  <c r="N4" i="9" s="1"/>
  <c r="BS49" i="9"/>
  <c r="BT53" i="9" l="1"/>
  <c r="BC51" i="9"/>
  <c r="BD51" i="9"/>
  <c r="BK51" i="9"/>
  <c r="BL51" i="9" s="1"/>
  <c r="BB52" i="9"/>
  <c r="BP52" i="9"/>
  <c r="BQ52" i="9" s="1"/>
  <c r="BI52" i="9"/>
  <c r="O3" i="9"/>
  <c r="O4" i="9" s="1"/>
  <c r="BZ50" i="9"/>
  <c r="AV51" i="9"/>
  <c r="AW51" i="9"/>
  <c r="AX51" i="9" l="1"/>
  <c r="CA54" i="9"/>
  <c r="BJ52" i="9"/>
  <c r="BK52" i="9"/>
  <c r="BC52" i="9"/>
  <c r="BD52" i="9"/>
  <c r="BM53" i="9"/>
  <c r="BE51" i="9"/>
  <c r="BP53" i="9"/>
  <c r="BI53" i="9"/>
  <c r="BW53" i="9"/>
  <c r="BX53" i="9" s="1"/>
  <c r="P3" i="9"/>
  <c r="P4" i="9" s="1"/>
  <c r="CG51" i="9"/>
  <c r="BR52" i="9"/>
  <c r="BS52" i="9" s="1"/>
  <c r="BE52" i="9" l="1"/>
  <c r="BL52" i="9"/>
  <c r="CH55" i="9"/>
  <c r="BQ53" i="9"/>
  <c r="BR53" i="9"/>
  <c r="BY53" i="9"/>
  <c r="BZ53" i="9" s="1"/>
  <c r="BT54" i="9"/>
  <c r="BP54" i="9"/>
  <c r="CD54" i="9"/>
  <c r="CE54" i="9" s="1"/>
  <c r="BW54" i="9"/>
  <c r="CA55" i="9" s="1"/>
  <c r="Q3" i="9"/>
  <c r="Q4" i="9" s="1"/>
  <c r="CN52" i="9"/>
  <c r="BJ53" i="9"/>
  <c r="BK53" i="9"/>
  <c r="BS53" i="9" l="1"/>
  <c r="CD55" i="9"/>
  <c r="CH56" i="9" s="1"/>
  <c r="BW55" i="9"/>
  <c r="CK55" i="9"/>
  <c r="CL55" i="9" s="1"/>
  <c r="R3" i="9"/>
  <c r="R4" i="9" s="1"/>
  <c r="CU53" i="9"/>
  <c r="BL53" i="9"/>
  <c r="CO56" i="9"/>
  <c r="BX54" i="9"/>
  <c r="BY54" i="9"/>
  <c r="BQ54" i="9"/>
  <c r="BR54" i="9"/>
  <c r="CF54" i="9"/>
  <c r="CG54" i="9" s="1"/>
  <c r="CM55" i="9" l="1"/>
  <c r="CK56" i="9"/>
  <c r="CD56" i="9"/>
  <c r="CR56" i="9"/>
  <c r="CS56" i="9" s="1"/>
  <c r="DB54" i="9"/>
  <c r="BX55" i="9"/>
  <c r="BY55" i="9"/>
  <c r="BS54" i="9"/>
  <c r="BZ54" i="9"/>
  <c r="CV57" i="9"/>
  <c r="CN55" i="9"/>
  <c r="CE55" i="9"/>
  <c r="CF55" i="9"/>
  <c r="CL56" i="9" l="1"/>
  <c r="CM56" i="9"/>
  <c r="CG55" i="9"/>
  <c r="CT56" i="9"/>
  <c r="CU56" i="9" s="1"/>
  <c r="BZ55" i="9"/>
  <c r="CR57" i="9"/>
  <c r="CK57" i="9"/>
  <c r="CY57" i="9"/>
  <c r="CZ57" i="9" s="1"/>
  <c r="CE56" i="9"/>
  <c r="CF56" i="9"/>
  <c r="CO57" i="9"/>
  <c r="CS57" i="9" l="1"/>
  <c r="CT57" i="9"/>
  <c r="CG56" i="9"/>
  <c r="CL57" i="9"/>
  <c r="CM57" i="9"/>
  <c r="CN56" i="9"/>
  <c r="DA57" i="9"/>
  <c r="DB57" i="9" s="1"/>
  <c r="CU57" i="9" l="1"/>
  <c r="CN57" i="9"/>
  <c r="Z48" i="9" l="1"/>
  <c r="Z49" i="9" s="1"/>
  <c r="Z50" i="9" s="1"/>
  <c r="Z51" i="9" s="1"/>
  <c r="Z52" i="9" s="1"/>
  <c r="Z53" i="9" s="1"/>
  <c r="Z54" i="9" s="1"/>
  <c r="Z55" i="9" s="1"/>
  <c r="Z56" i="9" s="1"/>
  <c r="Y48" i="9"/>
  <c r="Y49" i="9" s="1"/>
  <c r="Y50" i="9" s="1"/>
  <c r="Y51" i="9" s="1"/>
  <c r="Y52" i="9" s="1"/>
  <c r="Y53" i="9" s="1"/>
  <c r="Y54" i="9" s="1"/>
  <c r="Y55" i="9" s="1"/>
  <c r="X48" i="9"/>
  <c r="X49" i="9" s="1"/>
  <c r="X50" i="9" s="1"/>
  <c r="X51" i="9" s="1"/>
  <c r="X52" i="9" s="1"/>
  <c r="X53" i="9" s="1"/>
  <c r="X54" i="9" s="1"/>
  <c r="W48" i="9"/>
  <c r="W49" i="9" s="1"/>
  <c r="W50" i="9" s="1"/>
  <c r="W51" i="9" s="1"/>
  <c r="W52" i="9" s="1"/>
  <c r="W53" i="9" s="1"/>
  <c r="V48" i="9"/>
  <c r="V49" i="9" s="1"/>
  <c r="V50" i="9" s="1"/>
  <c r="V51" i="9" s="1"/>
  <c r="V52" i="9" s="1"/>
  <c r="S48" i="9"/>
  <c r="S49" i="9" s="1"/>
  <c r="T48" i="9"/>
  <c r="T49" i="9" s="1"/>
  <c r="T50" i="9" s="1"/>
  <c r="U48" i="9"/>
  <c r="U49" i="9" s="1"/>
  <c r="U50" i="9" s="1"/>
  <c r="U51" i="9" s="1"/>
  <c r="R48" i="9"/>
  <c r="G44" i="9"/>
  <c r="AE48" i="9" s="1"/>
  <c r="AF48" i="9" s="1"/>
  <c r="AH48" i="9" s="1"/>
  <c r="H57" i="9" l="1"/>
  <c r="H55" i="9"/>
  <c r="H53" i="9"/>
  <c r="H51" i="9"/>
  <c r="H49" i="9"/>
  <c r="H56" i="9"/>
  <c r="H54" i="9"/>
  <c r="H52" i="9"/>
  <c r="H50" i="9"/>
  <c r="H48" i="9"/>
  <c r="I48" i="9" s="1"/>
  <c r="K48" i="9" s="1"/>
  <c r="D47" i="9"/>
  <c r="E47" i="9" l="1"/>
  <c r="AA47" i="9"/>
  <c r="I49" i="9"/>
  <c r="I50" i="9" s="1"/>
  <c r="I51" i="9" s="1"/>
  <c r="I52" i="9" s="1"/>
  <c r="I53" i="9" s="1"/>
  <c r="I54" i="9" s="1"/>
  <c r="I55" i="9" s="1"/>
  <c r="I56" i="9" s="1"/>
  <c r="I57" i="9" s="1"/>
  <c r="J49" i="9"/>
  <c r="F47" i="9"/>
  <c r="G47" i="9" s="1"/>
  <c r="L47" i="9" l="1"/>
  <c r="AI47" i="9"/>
  <c r="K49" i="9"/>
  <c r="AC47" i="9"/>
  <c r="B47" i="9" l="1"/>
  <c r="D48" i="9"/>
  <c r="AG49" i="9" s="1"/>
  <c r="E48" i="9" l="1"/>
  <c r="F48" i="9"/>
  <c r="G48" i="9" l="1"/>
  <c r="L48" i="9" s="1"/>
  <c r="M48" i="9" l="1"/>
  <c r="AD48" i="9"/>
  <c r="Q48" i="9" l="1"/>
  <c r="P48" i="9"/>
  <c r="AE49" i="9" l="1"/>
  <c r="AF49" i="9" s="1"/>
  <c r="AH49" i="9" s="1"/>
  <c r="AG50" i="9" s="1"/>
  <c r="AA48" i="9"/>
  <c r="AC48" i="9"/>
  <c r="AI48" i="9" l="1"/>
  <c r="AJ48" i="9" s="1"/>
  <c r="D49" i="9"/>
  <c r="B48" i="9" l="1"/>
  <c r="J50" i="9"/>
  <c r="E49" i="9"/>
  <c r="F49" i="9"/>
  <c r="K50" i="9" l="1"/>
  <c r="G49" i="9"/>
  <c r="L49" i="9" s="1"/>
  <c r="AD49" i="9" l="1"/>
  <c r="M49" i="9" l="1"/>
  <c r="R49" i="9" l="1"/>
  <c r="Q49" i="9"/>
  <c r="AE50" i="9" l="1"/>
  <c r="AF50" i="9" s="1"/>
  <c r="AH50" i="9" s="1"/>
  <c r="AG51" i="9" s="1"/>
  <c r="AA49" i="9"/>
  <c r="AD50" i="9"/>
  <c r="AC49" i="9"/>
  <c r="D50" i="9"/>
  <c r="AI49" i="9" l="1"/>
  <c r="AJ49" i="9" s="1"/>
  <c r="J51" i="9"/>
  <c r="E50" i="9"/>
  <c r="F50" i="9"/>
  <c r="B49" i="9" l="1"/>
  <c r="K51" i="9"/>
  <c r="G50" i="9"/>
  <c r="L50" i="9" s="1"/>
  <c r="M50" i="9" l="1"/>
  <c r="R50" i="9" l="1"/>
  <c r="S50" i="9"/>
  <c r="D51" i="9"/>
  <c r="AE51" i="9" l="1"/>
  <c r="AF51" i="9" s="1"/>
  <c r="AH51" i="9" s="1"/>
  <c r="AG52" i="9" s="1"/>
  <c r="AA50" i="9"/>
  <c r="J52" i="9"/>
  <c r="AD51" i="9"/>
  <c r="E51" i="9"/>
  <c r="F51" i="9"/>
  <c r="AC50" i="9"/>
  <c r="AI50" i="9" l="1"/>
  <c r="AJ50" i="9" s="1"/>
  <c r="K52" i="9"/>
  <c r="G51" i="9"/>
  <c r="L51" i="9" s="1"/>
  <c r="B50" i="9" l="1"/>
  <c r="M51" i="9" l="1"/>
  <c r="D52" i="9" l="1"/>
  <c r="J53" i="9" l="1"/>
  <c r="E52" i="9"/>
  <c r="F52" i="9"/>
  <c r="S51" i="9"/>
  <c r="T51" i="9"/>
  <c r="AE52" i="9" l="1"/>
  <c r="AF52" i="9" s="1"/>
  <c r="AH52" i="9" s="1"/>
  <c r="AG53" i="9" s="1"/>
  <c r="AA51" i="9"/>
  <c r="K53" i="9"/>
  <c r="G52" i="9"/>
  <c r="L52" i="9" s="1"/>
  <c r="AD52" i="9"/>
  <c r="AC51" i="9"/>
  <c r="AI51" i="9" l="1"/>
  <c r="AJ51" i="9" s="1"/>
  <c r="B51" i="9" l="1"/>
  <c r="M52" i="9"/>
  <c r="D53" i="9" l="1"/>
  <c r="J54" i="9" l="1"/>
  <c r="E53" i="9"/>
  <c r="F53" i="9"/>
  <c r="K54" i="9" l="1"/>
  <c r="G53" i="9"/>
  <c r="L53" i="9" s="1"/>
  <c r="U52" i="9"/>
  <c r="T52" i="9"/>
  <c r="AE53" i="9" l="1"/>
  <c r="AF53" i="9" s="1"/>
  <c r="AH53" i="9" s="1"/>
  <c r="AG54" i="9" s="1"/>
  <c r="AA52" i="9"/>
  <c r="AD53" i="9"/>
  <c r="AC52" i="9"/>
  <c r="AI52" i="9" l="1"/>
  <c r="AJ52" i="9" s="1"/>
  <c r="M53" i="9"/>
  <c r="U53" i="9"/>
  <c r="V53" i="9"/>
  <c r="AE54" i="9" l="1"/>
  <c r="AF54" i="9" s="1"/>
  <c r="AH54" i="9" s="1"/>
  <c r="AG55" i="9" s="1"/>
  <c r="B52" i="9"/>
  <c r="AA53" i="9"/>
  <c r="AD54" i="9"/>
  <c r="AC53" i="9"/>
  <c r="AI53" i="9" s="1"/>
  <c r="AJ53" i="9" s="1"/>
  <c r="B53" i="9" l="1"/>
  <c r="V54" i="9"/>
  <c r="W54" i="9"/>
  <c r="D54" i="9"/>
  <c r="AE55" i="9" l="1"/>
  <c r="AF55" i="9" s="1"/>
  <c r="AH55" i="9" s="1"/>
  <c r="AG56" i="9" s="1"/>
  <c r="AA54" i="9"/>
  <c r="J55" i="9"/>
  <c r="AD55" i="9"/>
  <c r="AC54" i="9"/>
  <c r="AI54" i="9" s="1"/>
  <c r="AJ54" i="9" s="1"/>
  <c r="E54" i="9"/>
  <c r="F54" i="9"/>
  <c r="K55" i="9" l="1"/>
  <c r="G54" i="9"/>
  <c r="L54" i="9" s="1"/>
  <c r="W55" i="9"/>
  <c r="X55" i="9"/>
  <c r="AE56" i="9" l="1"/>
  <c r="AF56" i="9" s="1"/>
  <c r="AH56" i="9" s="1"/>
  <c r="AG57" i="9" s="1"/>
  <c r="B54" i="9"/>
  <c r="AA55" i="9"/>
  <c r="AD56" i="9"/>
  <c r="AC55" i="9"/>
  <c r="AI55" i="9" s="1"/>
  <c r="AJ55" i="9" s="1"/>
  <c r="M54" i="9" l="1"/>
  <c r="Y56" i="9"/>
  <c r="X56" i="9"/>
  <c r="AE57" i="9" l="1"/>
  <c r="AF57" i="9" s="1"/>
  <c r="AH57" i="9" s="1"/>
  <c r="AA56" i="9"/>
  <c r="AD57" i="9"/>
  <c r="AC56" i="9"/>
  <c r="AI56" i="9" s="1"/>
  <c r="AJ56" i="9" s="1"/>
  <c r="Z57" i="9" l="1"/>
  <c r="Y57" i="9"/>
  <c r="D55" i="9"/>
  <c r="AA57" i="9" l="1"/>
  <c r="J56" i="9"/>
  <c r="AC57" i="9"/>
  <c r="AI57" i="9" s="1"/>
  <c r="AJ57" i="9" s="1"/>
  <c r="E55" i="9"/>
  <c r="F55" i="9"/>
  <c r="K56" i="9" l="1"/>
  <c r="G55" i="9"/>
  <c r="L55" i="9" s="1"/>
  <c r="B55" i="9" s="1"/>
  <c r="M55" i="9" l="1"/>
  <c r="D56" i="9" l="1"/>
  <c r="J57" i="9" l="1"/>
  <c r="E56" i="9"/>
  <c r="F56" i="9"/>
  <c r="K57" i="9" l="1"/>
  <c r="G56" i="9"/>
  <c r="L56" i="9" s="1"/>
  <c r="B56" i="9" s="1"/>
  <c r="M56" i="9" l="1"/>
  <c r="D57" i="9" l="1"/>
  <c r="E57" i="9" l="1"/>
  <c r="F57" i="9"/>
  <c r="G57" i="9" l="1"/>
  <c r="L57" i="9" s="1"/>
  <c r="B57" i="9" l="1"/>
  <c r="M57" i="9" l="1"/>
</calcChain>
</file>

<file path=xl/sharedStrings.xml><?xml version="1.0" encoding="utf-8"?>
<sst xmlns="http://schemas.openxmlformats.org/spreadsheetml/2006/main" count="171" uniqueCount="73">
  <si>
    <t>Par</t>
  </si>
  <si>
    <t>Yield</t>
  </si>
  <si>
    <t>Bond PV</t>
  </si>
  <si>
    <t>Coupon PV</t>
  </si>
  <si>
    <t>Years TM</t>
  </si>
  <si>
    <t>Cpns/Yr</t>
  </si>
  <si>
    <t>Value of bonds</t>
  </si>
  <si>
    <t>Now</t>
  </si>
  <si>
    <t>T+1yr</t>
  </si>
  <si>
    <t>T+2yrs</t>
  </si>
  <si>
    <t>T+3yrs</t>
  </si>
  <si>
    <t>T+4yrs</t>
  </si>
  <si>
    <t>T+5yrs</t>
  </si>
  <si>
    <t>T+6yrs</t>
  </si>
  <si>
    <t>T+7yrs</t>
  </si>
  <si>
    <t>T+8yrs</t>
  </si>
  <si>
    <t>T+9yrs</t>
  </si>
  <si>
    <t>T+10yrs</t>
  </si>
  <si>
    <t>10yr yield</t>
  </si>
  <si>
    <t>1yr yield</t>
  </si>
  <si>
    <t>n/a</t>
  </si>
  <si>
    <t>Price</t>
  </si>
  <si>
    <t>Yld</t>
  </si>
  <si>
    <t>BndPV</t>
  </si>
  <si>
    <t>CpnPV</t>
  </si>
  <si>
    <t>Accrd</t>
  </si>
  <si>
    <t>B.bnds</t>
  </si>
  <si>
    <t>A.bnds</t>
  </si>
  <si>
    <t>C bnds</t>
  </si>
  <si>
    <t>D.bnds</t>
  </si>
  <si>
    <t>E.Bnds</t>
  </si>
  <si>
    <t>F.Bnds</t>
  </si>
  <si>
    <t>G.bnds</t>
  </si>
  <si>
    <t>H.bnds</t>
  </si>
  <si>
    <t>I.bnds</t>
  </si>
  <si>
    <t>YrsTM</t>
  </si>
  <si>
    <t>Calc</t>
  </si>
  <si>
    <t>J.bnds</t>
  </si>
  <si>
    <t>K.bnds</t>
  </si>
  <si>
    <t>Cpn Received This Period</t>
  </si>
  <si>
    <t>Cumulative Cpn Received</t>
  </si>
  <si>
    <t>Cpn Received This period</t>
  </si>
  <si>
    <t>Bond Price</t>
  </si>
  <si>
    <t>Cumulative Accrued Yield on Received Cpns</t>
  </si>
  <si>
    <t>Time</t>
  </si>
  <si>
    <t>Cpns Received</t>
  </si>
  <si>
    <t>AI of Cpns</t>
  </si>
  <si>
    <t>T+4 yrs</t>
  </si>
  <si>
    <t>Total Bond Value</t>
  </si>
  <si>
    <t>Bond A (buy and hold) Cpn Rate</t>
  </si>
  <si>
    <t>Bond B CpnRt</t>
  </si>
  <si>
    <t>Bond C CpnRt</t>
  </si>
  <si>
    <t>Bond D CpnRt</t>
  </si>
  <si>
    <t>Bond E CpnRt</t>
  </si>
  <si>
    <t>Bond F CpnRt</t>
  </si>
  <si>
    <t>Bond G CpnRt</t>
  </si>
  <si>
    <t>Bond H Cpn Rt</t>
  </si>
  <si>
    <t>Bond I Cpn Rt</t>
  </si>
  <si>
    <t>Bond J Cpn Rt</t>
  </si>
  <si>
    <t>Bond K Cpn Rt</t>
  </si>
  <si>
    <t>Fund-Bnd Rtrn</t>
  </si>
  <si>
    <t>BOX #1</t>
  </si>
  <si>
    <t>BOX #4</t>
  </si>
  <si>
    <t>BOX #2</t>
  </si>
  <si>
    <t>NAV/Total Assets</t>
  </si>
  <si>
    <t>Bond Weightings for Each Year</t>
  </si>
  <si>
    <t>%Rtrn YoY</t>
  </si>
  <si>
    <t>User-Defined Yields for the next 10 years</t>
  </si>
  <si>
    <t>BOX #3</t>
  </si>
  <si>
    <t>Box #5</t>
  </si>
  <si>
    <t>Fund YTM</t>
  </si>
  <si>
    <t>Avg Maturity</t>
  </si>
  <si>
    <r>
      <t xml:space="preserve">Copyright </t>
    </r>
    <r>
      <rPr>
        <b/>
        <sz val="11"/>
        <color theme="0" tint="-0.249977111117893"/>
        <rFont val="Calibri"/>
        <family val="2"/>
      </rPr>
      <t>© by DataVestment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</si>
</sst>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  <numFmt numFmtId="167" formatCode="0.0%"/>
    <numFmt numFmtId="169" formatCode="0.0"/>
    <numFmt numFmtId="171" formatCode="0.0000%"/>
    <numFmt numFmtId="176" formatCode="_(&quot;$&quot;* #,##0.000_);_(&quot;$&quot;* \(#,##0.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169" fontId="0" fillId="0" borderId="0" xfId="0" applyNumberFormat="1" applyFont="1" applyFill="1"/>
    <xf numFmtId="44" fontId="0" fillId="0" borderId="0" xfId="0" applyNumberFormat="1" applyFont="1" applyFill="1"/>
    <xf numFmtId="1" fontId="0" fillId="0" borderId="0" xfId="0" applyNumberFormat="1" applyFont="1" applyFill="1"/>
    <xf numFmtId="2" fontId="0" fillId="0" borderId="0" xfId="0" applyNumberFormat="1" applyFont="1" applyFill="1"/>
    <xf numFmtId="167" fontId="1" fillId="0" borderId="0" xfId="2" applyNumberFormat="1" applyFont="1" applyFill="1" applyBorder="1"/>
    <xf numFmtId="0" fontId="2" fillId="0" borderId="0" xfId="0" applyFont="1" applyFill="1"/>
    <xf numFmtId="169" fontId="0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9" fontId="2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 applyBorder="1"/>
    <xf numFmtId="169" fontId="0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/>
    <xf numFmtId="165" fontId="0" fillId="0" borderId="0" xfId="0" applyNumberFormat="1" applyFont="1" applyFill="1"/>
    <xf numFmtId="164" fontId="1" fillId="0" borderId="0" xfId="1" applyNumberFormat="1" applyFont="1" applyFill="1"/>
    <xf numFmtId="2" fontId="0" fillId="0" borderId="0" xfId="0" applyNumberFormat="1" applyFont="1" applyFill="1" applyBorder="1"/>
    <xf numFmtId="167" fontId="1" fillId="0" borderId="0" xfId="2" applyNumberFormat="1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/>
    <xf numFmtId="167" fontId="0" fillId="0" borderId="0" xfId="2" applyNumberFormat="1" applyFont="1" applyFill="1" applyBorder="1" applyAlignment="1">
      <alignment horizontal="center"/>
    </xf>
    <xf numFmtId="167" fontId="1" fillId="2" borderId="9" xfId="2" applyNumberFormat="1" applyFont="1" applyFill="1" applyBorder="1" applyAlignment="1">
      <alignment horizontal="center"/>
    </xf>
    <xf numFmtId="167" fontId="1" fillId="2" borderId="10" xfId="2" applyNumberFormat="1" applyFont="1" applyFill="1" applyBorder="1" applyAlignment="1">
      <alignment horizontal="center"/>
    </xf>
    <xf numFmtId="167" fontId="1" fillId="2" borderId="11" xfId="2" applyNumberFormat="1" applyFont="1" applyFill="1" applyBorder="1" applyAlignment="1">
      <alignment horizontal="center"/>
    </xf>
    <xf numFmtId="167" fontId="1" fillId="2" borderId="12" xfId="2" applyNumberFormat="1" applyFont="1" applyFill="1" applyBorder="1" applyAlignment="1">
      <alignment horizontal="center"/>
    </xf>
    <xf numFmtId="167" fontId="1" fillId="2" borderId="13" xfId="2" applyNumberFormat="1" applyFont="1" applyFill="1" applyBorder="1" applyAlignment="1">
      <alignment horizontal="center"/>
    </xf>
    <xf numFmtId="167" fontId="1" fillId="2" borderId="14" xfId="2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" fontId="0" fillId="0" borderId="4" xfId="0" applyNumberFormat="1" applyFont="1" applyFill="1" applyBorder="1"/>
    <xf numFmtId="165" fontId="0" fillId="0" borderId="4" xfId="0" applyNumberFormat="1" applyFont="1" applyFill="1" applyBorder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0" fontId="0" fillId="0" borderId="16" xfId="0" applyFont="1" applyFill="1" applyBorder="1"/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4" fontId="0" fillId="0" borderId="0" xfId="1" applyFont="1" applyFill="1" applyBorder="1" applyAlignment="1">
      <alignment horizontal="left"/>
    </xf>
    <xf numFmtId="44" fontId="0" fillId="0" borderId="0" xfId="0" applyNumberFormat="1" applyFont="1" applyFill="1" applyBorder="1"/>
    <xf numFmtId="176" fontId="0" fillId="0" borderId="0" xfId="0" applyNumberFormat="1" applyFont="1" applyFill="1" applyBorder="1"/>
    <xf numFmtId="44" fontId="0" fillId="0" borderId="0" xfId="1" applyFont="1" applyFill="1" applyBorder="1"/>
    <xf numFmtId="167" fontId="1" fillId="0" borderId="16" xfId="2" applyNumberFormat="1" applyFont="1" applyFill="1" applyBorder="1"/>
    <xf numFmtId="1" fontId="0" fillId="0" borderId="7" xfId="0" applyNumberFormat="1" applyFont="1" applyFill="1" applyBorder="1"/>
    <xf numFmtId="2" fontId="0" fillId="0" borderId="7" xfId="0" applyNumberFormat="1" applyFont="1" applyFill="1" applyBorder="1"/>
    <xf numFmtId="44" fontId="0" fillId="0" borderId="7" xfId="0" applyNumberFormat="1" applyFont="1" applyFill="1" applyBorder="1"/>
    <xf numFmtId="0" fontId="0" fillId="0" borderId="7" xfId="0" applyFont="1" applyFill="1" applyBorder="1"/>
    <xf numFmtId="176" fontId="0" fillId="0" borderId="7" xfId="0" applyNumberFormat="1" applyFont="1" applyFill="1" applyBorder="1"/>
    <xf numFmtId="44" fontId="0" fillId="0" borderId="7" xfId="1" applyFont="1" applyFill="1" applyBorder="1"/>
    <xf numFmtId="169" fontId="0" fillId="0" borderId="15" xfId="0" applyNumberFormat="1" applyFont="1" applyFill="1" applyBorder="1"/>
    <xf numFmtId="169" fontId="0" fillId="0" borderId="16" xfId="0" applyNumberFormat="1" applyFont="1" applyFill="1" applyBorder="1"/>
    <xf numFmtId="0" fontId="0" fillId="0" borderId="15" xfId="0" applyFont="1" applyFill="1" applyBorder="1"/>
    <xf numFmtId="169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44" fontId="1" fillId="0" borderId="0" xfId="1" applyFont="1" applyFill="1" applyBorder="1"/>
    <xf numFmtId="167" fontId="0" fillId="0" borderId="16" xfId="2" applyNumberFormat="1" applyFont="1" applyFill="1" applyBorder="1"/>
    <xf numFmtId="169" fontId="0" fillId="0" borderId="4" xfId="0" applyNumberFormat="1" applyFont="1" applyFill="1" applyBorder="1"/>
    <xf numFmtId="171" fontId="1" fillId="0" borderId="0" xfId="2" applyNumberFormat="1" applyFont="1" applyFill="1" applyBorder="1"/>
    <xf numFmtId="171" fontId="1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44" fontId="2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16" xfId="0" applyNumberFormat="1" applyFont="1" applyFill="1" applyBorder="1"/>
    <xf numFmtId="169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9" fontId="0" fillId="0" borderId="7" xfId="0" applyNumberFormat="1" applyFont="1" applyFill="1" applyBorder="1"/>
    <xf numFmtId="10" fontId="0" fillId="0" borderId="7" xfId="2" applyNumberFormat="1" applyFont="1" applyFill="1" applyBorder="1"/>
    <xf numFmtId="167" fontId="1" fillId="0" borderId="7" xfId="2" applyNumberFormat="1" applyFont="1" applyFill="1" applyBorder="1"/>
    <xf numFmtId="44" fontId="0" fillId="0" borderId="8" xfId="0" applyNumberFormat="1" applyFont="1" applyFill="1" applyBorder="1"/>
    <xf numFmtId="0" fontId="2" fillId="0" borderId="6" xfId="0" applyFont="1" applyFill="1" applyBorder="1" applyAlignment="1">
      <alignment horizontal="left"/>
    </xf>
    <xf numFmtId="44" fontId="0" fillId="0" borderId="7" xfId="1" applyFont="1" applyFill="1" applyBorder="1" applyAlignment="1">
      <alignment horizontal="left"/>
    </xf>
    <xf numFmtId="167" fontId="1" fillId="0" borderId="8" xfId="2" applyNumberFormat="1" applyFont="1" applyFill="1" applyBorder="1"/>
    <xf numFmtId="2" fontId="0" fillId="0" borderId="7" xfId="0" applyNumberFormat="1" applyFont="1" applyFill="1" applyBorder="1" applyAlignment="1">
      <alignment horizontal="center"/>
    </xf>
    <xf numFmtId="167" fontId="0" fillId="0" borderId="7" xfId="2" applyNumberFormat="1" applyFont="1" applyFill="1" applyBorder="1" applyAlignment="1">
      <alignment horizontal="center"/>
    </xf>
    <xf numFmtId="44" fontId="1" fillId="0" borderId="7" xfId="1" applyFont="1" applyFill="1" applyBorder="1"/>
    <xf numFmtId="167" fontId="0" fillId="0" borderId="8" xfId="2" applyNumberFormat="1" applyFont="1" applyFill="1" applyBorder="1"/>
    <xf numFmtId="0" fontId="0" fillId="4" borderId="4" xfId="0" applyFont="1" applyFill="1" applyBorder="1"/>
    <xf numFmtId="167" fontId="1" fillId="4" borderId="0" xfId="2" applyNumberFormat="1" applyFont="1" applyFill="1" applyBorder="1" applyAlignment="1">
      <alignment horizontal="center"/>
    </xf>
    <xf numFmtId="0" fontId="0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44" fontId="0" fillId="4" borderId="0" xfId="0" applyNumberFormat="1" applyFont="1" applyFill="1" applyBorder="1"/>
    <xf numFmtId="0" fontId="0" fillId="4" borderId="7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9" fontId="0" fillId="4" borderId="0" xfId="0" applyNumberFormat="1" applyFont="1" applyFill="1" applyBorder="1" applyAlignment="1">
      <alignment horizontal="center"/>
    </xf>
    <xf numFmtId="44" fontId="0" fillId="4" borderId="7" xfId="0" applyNumberFormat="1" applyFont="1" applyFill="1" applyBorder="1"/>
    <xf numFmtId="0" fontId="0" fillId="0" borderId="15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9" fontId="2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9" fontId="2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71" fontId="1" fillId="0" borderId="6" xfId="2" applyNumberFormat="1" applyFont="1" applyFill="1" applyBorder="1" applyAlignment="1">
      <alignment horizontal="center"/>
    </xf>
    <xf numFmtId="167" fontId="0" fillId="2" borderId="10" xfId="2" applyNumberFormat="1" applyFont="1" applyFill="1" applyBorder="1" applyAlignment="1">
      <alignment horizontal="center"/>
    </xf>
    <xf numFmtId="167" fontId="2" fillId="5" borderId="1" xfId="2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1" fontId="0" fillId="4" borderId="4" xfId="0" applyNumberFormat="1" applyFont="1" applyFill="1" applyBorder="1"/>
    <xf numFmtId="165" fontId="0" fillId="4" borderId="4" xfId="0" applyNumberFormat="1" applyFont="1" applyFill="1" applyBorder="1"/>
    <xf numFmtId="2" fontId="0" fillId="4" borderId="4" xfId="0" applyNumberFormat="1" applyFont="1" applyFill="1" applyBorder="1"/>
    <xf numFmtId="0" fontId="0" fillId="4" borderId="5" xfId="0" applyFont="1" applyFill="1" applyBorder="1"/>
    <xf numFmtId="0" fontId="0" fillId="4" borderId="15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" fontId="0" fillId="4" borderId="0" xfId="0" applyNumberFormat="1" applyFont="1" applyFill="1" applyBorder="1"/>
    <xf numFmtId="165" fontId="0" fillId="4" borderId="0" xfId="0" applyNumberFormat="1" applyFont="1" applyFill="1" applyBorder="1"/>
    <xf numFmtId="2" fontId="0" fillId="4" borderId="0" xfId="0" applyNumberFormat="1" applyFont="1" applyFill="1" applyBorder="1"/>
    <xf numFmtId="0" fontId="0" fillId="4" borderId="16" xfId="0" applyFont="1" applyFill="1" applyBorder="1"/>
    <xf numFmtId="0" fontId="0" fillId="4" borderId="6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1" fontId="0" fillId="4" borderId="7" xfId="0" applyNumberFormat="1" applyFont="1" applyFill="1" applyBorder="1"/>
    <xf numFmtId="165" fontId="0" fillId="4" borderId="7" xfId="0" applyNumberFormat="1" applyFont="1" applyFill="1" applyBorder="1"/>
    <xf numFmtId="2" fontId="0" fillId="4" borderId="7" xfId="0" applyNumberFormat="1" applyFont="1" applyFill="1" applyBorder="1"/>
    <xf numFmtId="0" fontId="0" fillId="4" borderId="8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9" fontId="0" fillId="0" borderId="0" xfId="2" applyNumberFormat="1" applyFont="1" applyFill="1" applyBorder="1" applyAlignment="1">
      <alignment horizontal="center"/>
    </xf>
    <xf numFmtId="169" fontId="0" fillId="0" borderId="7" xfId="2" applyNumberFormat="1" applyFont="1" applyFill="1" applyBorder="1" applyAlignment="1">
      <alignment horizontal="center"/>
    </xf>
    <xf numFmtId="169" fontId="3" fillId="3" borderId="3" xfId="0" applyNumberFormat="1" applyFont="1" applyFill="1" applyBorder="1" applyAlignment="1"/>
    <xf numFmtId="169" fontId="3" fillId="0" borderId="4" xfId="0" applyNumberFormat="1" applyFont="1" applyFill="1" applyBorder="1" applyAlignment="1"/>
    <xf numFmtId="0" fontId="4" fillId="0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C. </a:t>
            </a:r>
            <a:r>
              <a:rPr lang="en-US" b="0"/>
              <a:t>Bond Value minus Fund Value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88765751065179"/>
          <c:y val="0.15123338671502268"/>
          <c:w val="0.80384379411269535"/>
          <c:h val="0.66809228311387769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>
              <a:outerShdw blurRad="25400" dist="12700" dir="5400000" algn="ctr" rotWithShape="0">
                <a:srgbClr val="000000">
                  <a:alpha val="50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25400" dist="12700" dir="5400000" algn="ctr" rotWithShape="0">
                  <a:srgbClr val="000000">
                    <a:alpha val="50000"/>
                  </a:srgbClr>
                </a:outerShdw>
              </a:effectLst>
            </c:spPr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Sheet1!$B$47:$B$57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-1.1419988546256263</c:v>
                </c:pt>
                <c:pt idx="3">
                  <c:v>-0.95451930833445431</c:v>
                </c:pt>
                <c:pt idx="4">
                  <c:v>-0.55563575441107105</c:v>
                </c:pt>
                <c:pt idx="5">
                  <c:v>0.15900460718611953</c:v>
                </c:pt>
                <c:pt idx="6">
                  <c:v>1.2496502471200159</c:v>
                </c:pt>
                <c:pt idx="7">
                  <c:v>2.7815665919319912</c:v>
                </c:pt>
                <c:pt idx="8">
                  <c:v>4.8249593171652094</c:v>
                </c:pt>
                <c:pt idx="9">
                  <c:v>7.4548516193361394</c:v>
                </c:pt>
                <c:pt idx="10">
                  <c:v>10.750918620315758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86928"/>
        <c:axId val="306986144"/>
      </c:lineChart>
      <c:catAx>
        <c:axId val="30698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986144"/>
        <c:crosses val="autoZero"/>
        <c:auto val="1"/>
        <c:lblAlgn val="ctr"/>
        <c:lblOffset val="100"/>
        <c:noMultiLvlLbl val="0"/>
      </c:catAx>
      <c:valAx>
        <c:axId val="3069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Differential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98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A.</a:t>
            </a:r>
            <a:r>
              <a:rPr lang="en-US" b="1" baseline="0"/>
              <a:t> </a:t>
            </a:r>
            <a:r>
              <a:rPr lang="en-US" b="0"/>
              <a:t>Bond</a:t>
            </a:r>
            <a:r>
              <a:rPr lang="en-US" b="0" baseline="0"/>
              <a:t> Value</a:t>
            </a:r>
            <a:r>
              <a:rPr lang="en-US" b="0"/>
              <a:t>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Sheet1!$G$46</c:f>
              <c:strCache>
                <c:ptCount val="1"/>
                <c:pt idx="0">
                  <c:v>Bond Price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dash"/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Sheet1!$G$47:$G$57</c:f>
              <c:numCache>
                <c:formatCode>_("$"* #,##0.00_);_("$"* \(#,##0.00\);_("$"* "-"??_);_(@_)</c:formatCode>
                <c:ptCount val="11"/>
                <c:pt idx="0">
                  <c:v>100</c:v>
                </c:pt>
                <c:pt idx="1">
                  <c:v>101.43579514760299</c:v>
                </c:pt>
                <c:pt idx="2">
                  <c:v>74.302191775425698</c:v>
                </c:pt>
                <c:pt idx="3">
                  <c:v>77.670091872344685</c:v>
                </c:pt>
                <c:pt idx="4">
                  <c:v>81.049420013172806</c:v>
                </c:pt>
                <c:pt idx="5">
                  <c:v>84.41458904572491</c:v>
                </c:pt>
                <c:pt idx="6">
                  <c:v>87.737913378119018</c:v>
                </c:pt>
                <c:pt idx="7">
                  <c:v>90.989839550395104</c:v>
                </c:pt>
                <c:pt idx="8">
                  <c:v>94.139230279140975</c:v>
                </c:pt>
                <c:pt idx="9">
                  <c:v>97.153700189753323</c:v>
                </c:pt>
                <c:pt idx="1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Sheet1!$I$46</c:f>
              <c:strCache>
                <c:ptCount val="1"/>
                <c:pt idx="0">
                  <c:v>Cpns Received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dash"/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Sheet1!$I$47:$I$57</c:f>
              <c:numCache>
                <c:formatCode>_("$"* #,##0.00_);_("$"* \(#,##0.00\);_("$"* "-"??_);_(@_)</c:formatCode>
                <c:ptCount val="11"/>
                <c:pt idx="1">
                  <c:v>2.4</c:v>
                </c:pt>
                <c:pt idx="2">
                  <c:v>4.8</c:v>
                </c:pt>
                <c:pt idx="3">
                  <c:v>7.1999999999999993</c:v>
                </c:pt>
                <c:pt idx="4">
                  <c:v>9.6</c:v>
                </c:pt>
                <c:pt idx="5">
                  <c:v>12</c:v>
                </c:pt>
                <c:pt idx="6">
                  <c:v>14.4</c:v>
                </c:pt>
                <c:pt idx="7">
                  <c:v>16.8</c:v>
                </c:pt>
                <c:pt idx="8">
                  <c:v>19.2</c:v>
                </c:pt>
                <c:pt idx="9">
                  <c:v>21.599999999999998</c:v>
                </c:pt>
                <c:pt idx="10">
                  <c:v>23.999999999999996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Sheet1!$J$46</c:f>
              <c:strCache>
                <c:ptCount val="1"/>
                <c:pt idx="0">
                  <c:v>AI of Cpns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dash"/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Sheet1!$J$47:$J$57</c:f>
              <c:numCache>
                <c:formatCode>_("$"* #,##0.000_);_("$"* \(#,##0.000\);_("$"* "-"??_);_(@_)</c:formatCode>
                <c:ptCount val="11"/>
                <c:pt idx="2">
                  <c:v>5.7599999999999998E-2</c:v>
                </c:pt>
                <c:pt idx="3">
                  <c:v>0.38036053333333331</c:v>
                </c:pt>
                <c:pt idx="4">
                  <c:v>0.87055718115555558</c:v>
                </c:pt>
                <c:pt idx="5">
                  <c:v>1.5290388883260051</c:v>
                </c:pt>
                <c:pt idx="6">
                  <c:v>2.3558134870570386</c:v>
                </c:pt>
                <c:pt idx="7">
                  <c:v>3.3499917539557567</c:v>
                </c:pt>
                <c:pt idx="8">
                  <c:v>4.5097357237945435</c:v>
                </c:pt>
                <c:pt idx="9">
                  <c:v>5.832212094166195</c:v>
                </c:pt>
                <c:pt idx="10">
                  <c:v>7.3135515472511692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Sheet1!$L$46</c:f>
              <c:strCache>
                <c:ptCount val="1"/>
                <c:pt idx="0">
                  <c:v>Total Bond Value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Sheet1!$L$47:$L$57</c:f>
              <c:numCache>
                <c:formatCode>_("$"* #,##0.00_);_("$"* \(#,##0.00\);_("$"* "-"??_);_(@_)</c:formatCode>
                <c:ptCount val="11"/>
                <c:pt idx="0">
                  <c:v>100</c:v>
                </c:pt>
                <c:pt idx="1">
                  <c:v>103.83579514760299</c:v>
                </c:pt>
                <c:pt idx="2">
                  <c:v>79.159791775425688</c:v>
                </c:pt>
                <c:pt idx="3">
                  <c:v>85.250452405678018</c:v>
                </c:pt>
                <c:pt idx="4">
                  <c:v>91.519977194328362</c:v>
                </c:pt>
                <c:pt idx="5">
                  <c:v>97.943627934050909</c:v>
                </c:pt>
                <c:pt idx="6">
                  <c:v>104.49372686517606</c:v>
                </c:pt>
                <c:pt idx="7">
                  <c:v>111.13983130435086</c:v>
                </c:pt>
                <c:pt idx="8">
                  <c:v>117.84896600293553</c:v>
                </c:pt>
                <c:pt idx="9">
                  <c:v>124.58591228391951</c:v>
                </c:pt>
                <c:pt idx="10">
                  <c:v>131.31355154725117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063608"/>
        <c:axId val="482064784"/>
      </c:lineChart>
      <c:catAx>
        <c:axId val="482063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64784"/>
        <c:crosses val="autoZero"/>
        <c:auto val="1"/>
        <c:lblAlgn val="ctr"/>
        <c:lblOffset val="100"/>
        <c:noMultiLvlLbl val="0"/>
      </c:catAx>
      <c:valAx>
        <c:axId val="48206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Portvolio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6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B. </a:t>
            </a:r>
            <a:r>
              <a:rPr lang="en-US" b="0"/>
              <a:t>Fund</a:t>
            </a:r>
            <a:r>
              <a:rPr lang="en-US" b="0" baseline="0"/>
              <a:t> Value</a:t>
            </a:r>
            <a:r>
              <a:rPr lang="en-US" b="0"/>
              <a:t>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Sheet1!$AC$46</c:f>
              <c:strCache>
                <c:ptCount val="1"/>
                <c:pt idx="0">
                  <c:v>Value of bonds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dash"/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Sheet1!$AC$47:$AC$57</c:f>
              <c:numCache>
                <c:formatCode>_("$"* #,##0.00_);_("$"* \(#,##0.00\);_("$"* "-"??_);_(@_)</c:formatCode>
                <c:ptCount val="11"/>
                <c:pt idx="0">
                  <c:v>100</c:v>
                </c:pt>
                <c:pt idx="1">
                  <c:v>101.43579514760299</c:v>
                </c:pt>
                <c:pt idx="2">
                  <c:v>73.145096712362161</c:v>
                </c:pt>
                <c:pt idx="3">
                  <c:v>75.289606443102343</c:v>
                </c:pt>
                <c:pt idx="4">
                  <c:v>76.095704303651431</c:v>
                </c:pt>
                <c:pt idx="5">
                  <c:v>76.910432754682802</c:v>
                </c:pt>
                <c:pt idx="6">
                  <c:v>77.733884200724134</c:v>
                </c:pt>
                <c:pt idx="7">
                  <c:v>78.566152035644066</c:v>
                </c:pt>
                <c:pt idx="8">
                  <c:v>79.407330653244742</c:v>
                </c:pt>
                <c:pt idx="9">
                  <c:v>80.257515457967671</c:v>
                </c:pt>
                <c:pt idx="10">
                  <c:v>81.116802875714299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Sheet1!$I$46</c:f>
              <c:strCache>
                <c:ptCount val="1"/>
                <c:pt idx="0">
                  <c:v>Cpns Received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dash"/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Sheet1!$AF$47:$AF$57</c:f>
              <c:numCache>
                <c:formatCode>_("$"* #,##0.00_);_("$"* \(#,##0.00\);_("$"* "-"??_);_(@_)</c:formatCode>
                <c:ptCount val="11"/>
                <c:pt idx="1">
                  <c:v>2.4</c:v>
                </c:pt>
                <c:pt idx="2">
                  <c:v>4.8172295417712352</c:v>
                </c:pt>
                <c:pt idx="3">
                  <c:v>8.614102538502511</c:v>
                </c:pt>
                <c:pt idx="4">
                  <c:v>13.853975778422923</c:v>
                </c:pt>
                <c:pt idx="5">
                  <c:v>19.149950395516029</c:v>
                </c:pt>
                <c:pt idx="6">
                  <c:v>24.502627046396327</c:v>
                </c:pt>
                <c:pt idx="7">
                  <c:v>29.912612818685655</c:v>
                </c:pt>
                <c:pt idx="8">
                  <c:v>35.380521299867596</c:v>
                </c:pt>
                <c:pt idx="9">
                  <c:v>40.906972646879098</c:v>
                </c:pt>
                <c:pt idx="10">
                  <c:v>46.492593656447163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Sheet1!$J$46</c:f>
              <c:strCache>
                <c:ptCount val="1"/>
                <c:pt idx="0">
                  <c:v>AI of Cpns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dash"/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Sheet1!$AG$47:$AG$57</c:f>
              <c:numCache>
                <c:formatCode>_("$"* #,##0.00_);_("$"* \(#,##0.00\);_("$"* "-"??_);_(@_)</c:formatCode>
                <c:ptCount val="11"/>
                <c:pt idx="2">
                  <c:v>5.5466666666666664E-2</c:v>
                </c:pt>
                <c:pt idx="3">
                  <c:v>0.39222411573870841</c:v>
                </c:pt>
                <c:pt idx="4">
                  <c:v>1.0146613578429351</c:v>
                </c:pt>
                <c:pt idx="5">
                  <c:v>2.0422493910381978</c:v>
                </c:pt>
                <c:pt idx="6">
                  <c:v>3.5068658651756124</c:v>
                </c:pt>
                <c:pt idx="7">
                  <c:v>5.4426330419531403</c:v>
                </c:pt>
                <c:pt idx="8">
                  <c:v>7.8860733669884002</c:v>
                </c:pt>
                <c:pt idx="9">
                  <c:v>10.876275798408892</c:v>
                </c:pt>
                <c:pt idx="10">
                  <c:v>14.455073635405462</c:v>
                </c:pt>
              </c:numCache>
            </c:numRef>
          </c:val>
          <c:smooth val="0"/>
        </c:ser>
        <c:ser>
          <c:idx val="3"/>
          <c:order val="3"/>
          <c:tx>
            <c:v>Total Fund Value</c:v>
          </c:tx>
          <c:spPr>
            <a:ln w="25400" cap="rnd">
              <a:solidFill>
                <a:schemeClr val="tx1"/>
              </a:solidFill>
              <a:round/>
            </a:ln>
            <a:effectLst>
              <a:outerShdw blurRad="25400" dist="12700" dir="5400000" algn="ctr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Sheet1!$AI$47:$AI$57</c:f>
              <c:numCache>
                <c:formatCode>_("$"* #,##0.00_);_("$"* \(#,##0.00\);_("$"* "-"??_);_(@_)</c:formatCode>
                <c:ptCount val="11"/>
                <c:pt idx="0">
                  <c:v>100</c:v>
                </c:pt>
                <c:pt idx="1">
                  <c:v>103.83579514760299</c:v>
                </c:pt>
                <c:pt idx="2">
                  <c:v>78.017792920800062</c:v>
                </c:pt>
                <c:pt idx="3">
                  <c:v>84.295933097343564</c:v>
                </c:pt>
                <c:pt idx="4">
                  <c:v>90.964341439917291</c:v>
                </c:pt>
                <c:pt idx="5">
                  <c:v>98.102632541237028</c:v>
                </c:pt>
                <c:pt idx="6">
                  <c:v>105.74337711229607</c:v>
                </c:pt>
                <c:pt idx="7">
                  <c:v>113.92139789628285</c:v>
                </c:pt>
                <c:pt idx="8">
                  <c:v>122.67392532010074</c:v>
                </c:pt>
                <c:pt idx="9">
                  <c:v>132.04076390325565</c:v>
                </c:pt>
                <c:pt idx="10">
                  <c:v>142.06447016756692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916648"/>
        <c:axId val="422918216"/>
      </c:lineChart>
      <c:catAx>
        <c:axId val="42291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18216"/>
        <c:crosses val="autoZero"/>
        <c:auto val="1"/>
        <c:lblAlgn val="ctr"/>
        <c:lblOffset val="100"/>
        <c:noMultiLvlLbl val="0"/>
      </c:catAx>
      <c:valAx>
        <c:axId val="42291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Portfolio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1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E. </a:t>
            </a:r>
            <a:r>
              <a:rPr lang="en-US" b="0"/>
              <a:t>Bond Yield</a:t>
            </a:r>
            <a:r>
              <a:rPr lang="en-US" b="0" baseline="0"/>
              <a:t> vs Average Fund Yield</a:t>
            </a:r>
            <a:endParaRPr lang="en-US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33870198043425"/>
          <c:y val="0.16429673117718499"/>
          <c:w val="0.81657341127813576"/>
          <c:h val="0.57805509960495649"/>
        </c:manualLayout>
      </c:layout>
      <c:lineChart>
        <c:grouping val="standard"/>
        <c:varyColors val="0"/>
        <c:ser>
          <c:idx val="0"/>
          <c:order val="0"/>
          <c:tx>
            <c:v>Bond YTM</c:v>
          </c:tx>
          <c:spPr>
            <a:ln w="28575" cap="rnd">
              <a:noFill/>
              <a:round/>
            </a:ln>
            <a:effectLst>
              <a:outerShdw blurRad="25400" dist="12700" dir="5400000" algn="ctr" rotWithShape="0">
                <a:srgbClr val="000000">
                  <a:alpha val="50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25400" dist="12700" dir="5400000" algn="ctr" rotWithShape="0">
                  <a:srgbClr val="000000">
                    <a:alpha val="50000"/>
                  </a:srgbClr>
                </a:outerShdw>
              </a:effectLst>
            </c:spPr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Sheet1!$D$47:$D$57</c:f>
              <c:numCache>
                <c:formatCode>0.0%</c:formatCode>
                <c:ptCount val="11"/>
                <c:pt idx="0">
                  <c:v>2.4E-2</c:v>
                </c:pt>
                <c:pt idx="1">
                  <c:v>2.2222222222222223E-2</c:v>
                </c:pt>
                <c:pt idx="2">
                  <c:v>6.6444444444444445E-2</c:v>
                </c:pt>
                <c:pt idx="3">
                  <c:v>6.4666666666666678E-2</c:v>
                </c:pt>
                <c:pt idx="4">
                  <c:v>6.2888888888888897E-2</c:v>
                </c:pt>
                <c:pt idx="5">
                  <c:v>6.1111111111111116E-2</c:v>
                </c:pt>
                <c:pt idx="6">
                  <c:v>5.9333333333333342E-2</c:v>
                </c:pt>
                <c:pt idx="7">
                  <c:v>5.7555555555555561E-2</c:v>
                </c:pt>
                <c:pt idx="8">
                  <c:v>5.5777777777777787E-2</c:v>
                </c:pt>
                <c:pt idx="9">
                  <c:v>5.4000000000000006E-2</c:v>
                </c:pt>
                <c:pt idx="10">
                  <c:v>5.2222222222222225E-2</c:v>
                </c:pt>
              </c:numCache>
            </c:numRef>
          </c:val>
          <c:smooth val="0"/>
        </c:ser>
        <c:ser>
          <c:idx val="1"/>
          <c:order val="1"/>
          <c:tx>
            <c:v>Fund YTM (Weighted Avg)</c:v>
          </c:tx>
          <c:spPr>
            <a:ln w="28575" cap="rnd">
              <a:noFill/>
              <a:round/>
            </a:ln>
            <a:effectLst>
              <a:outerShdw blurRad="25400" dist="12700" dir="5400000" algn="ctr" rotWithShape="0">
                <a:srgbClr val="000000">
                  <a:alpha val="50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>
                <a:outerShdw blurRad="25400" dist="12700" dir="5400000" algn="ctr" rotWithShape="0">
                  <a:srgbClr val="000000">
                    <a:alpha val="50000"/>
                  </a:srgbClr>
                </a:outerShdw>
              </a:effectLst>
            </c:spPr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Sheet1!$AA$47:$AA$57</c:f>
              <c:numCache>
                <c:formatCode>0.0%</c:formatCode>
                <c:ptCount val="11"/>
                <c:pt idx="0">
                  <c:v>2.4E-2</c:v>
                </c:pt>
                <c:pt idx="1">
                  <c:v>2.3117446938129789E-2</c:v>
                </c:pt>
                <c:pt idx="2">
                  <c:v>6.8960175559437134E-2</c:v>
                </c:pt>
                <c:pt idx="3">
                  <c:v>6.9116268014673021E-2</c:v>
                </c:pt>
                <c:pt idx="4">
                  <c:v>6.9116268014673021E-2</c:v>
                </c:pt>
                <c:pt idx="5">
                  <c:v>6.9116268014673021E-2</c:v>
                </c:pt>
                <c:pt idx="6">
                  <c:v>6.9116268014673021E-2</c:v>
                </c:pt>
                <c:pt idx="7">
                  <c:v>6.9116268014673021E-2</c:v>
                </c:pt>
                <c:pt idx="8">
                  <c:v>6.9116268014673021E-2</c:v>
                </c:pt>
                <c:pt idx="9">
                  <c:v>6.9116268014673021E-2</c:v>
                </c:pt>
                <c:pt idx="10">
                  <c:v>6.9116268014673021E-2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16488"/>
        <c:axId val="337414528"/>
      </c:lineChart>
      <c:catAx>
        <c:axId val="337416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14528"/>
        <c:crosses val="autoZero"/>
        <c:auto val="1"/>
        <c:lblAlgn val="ctr"/>
        <c:lblOffset val="100"/>
        <c:noMultiLvlLbl val="0"/>
      </c:catAx>
      <c:valAx>
        <c:axId val="33741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to Maturity</a:t>
                </a:r>
              </a:p>
            </c:rich>
          </c:tx>
          <c:layout>
            <c:manualLayout>
              <c:xMode val="edge"/>
              <c:yMode val="edge"/>
              <c:x val="3.0473236300007953E-2"/>
              <c:y val="0.277377324098211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1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D. </a:t>
            </a:r>
            <a:r>
              <a:rPr lang="en-US" b="0"/>
              <a:t>Bond Maturity vs Fund Maturity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Bond Remaining Maturity</c:v>
          </c:tx>
          <c:spPr>
            <a:ln w="28575" cap="rnd">
              <a:noFill/>
              <a:round/>
            </a:ln>
            <a:effectLst>
              <a:outerShdw blurRad="25400" dist="12700" dir="5400000" algn="ctr" rotWithShape="0">
                <a:srgbClr val="000000">
                  <a:alpha val="50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25400" dist="12700" dir="5400000" algn="ctr" rotWithShape="0">
                  <a:srgbClr val="000000">
                    <a:alpha val="50000"/>
                  </a:srgbClr>
                </a:outerShdw>
              </a:effectLst>
            </c:spPr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Sheet1!$C$47:$C$57</c:f>
              <c:numCache>
                <c:formatCode>0</c:formatCod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Fund Remaining Avg Maturity</c:v>
          </c:tx>
          <c:spPr>
            <a:ln w="28575" cap="rnd">
              <a:noFill/>
              <a:round/>
            </a:ln>
            <a:effectLst>
              <a:outerShdw blurRad="25400" dist="12700" dir="5400000" algn="ctr" rotWithShape="0">
                <a:srgbClr val="000000">
                  <a:alpha val="50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>
                <a:outerShdw blurRad="25400" dist="12700" dir="5400000" algn="ctr" rotWithShape="0">
                  <a:srgbClr val="000000">
                    <a:alpha val="50000"/>
                  </a:srgbClr>
                </a:outerShdw>
              </a:effectLst>
            </c:spPr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Sheet1!$AB$47:$AB$57</c:f>
              <c:numCache>
                <c:formatCode>0.0</c:formatCode>
                <c:ptCount val="11"/>
                <c:pt idx="0">
                  <c:v>10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86832"/>
        <c:axId val="334484480"/>
      </c:lineChart>
      <c:catAx>
        <c:axId val="33448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4480"/>
        <c:crosses val="autoZero"/>
        <c:auto val="1"/>
        <c:lblAlgn val="ctr"/>
        <c:lblOffset val="100"/>
        <c:noMultiLvlLbl val="0"/>
      </c:catAx>
      <c:valAx>
        <c:axId val="33448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Remaining</a:t>
                </a:r>
                <a:r>
                  <a:rPr lang="en-US" baseline="0"/>
                  <a:t> Maturity (years)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F. </a:t>
            </a:r>
            <a:r>
              <a:rPr lang="en-US" b="0"/>
              <a:t>YoY % Returns: Bond Vs Fund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Bond Returns YoY</c:v>
          </c:tx>
          <c:spPr>
            <a:ln w="28575" cap="rnd">
              <a:noFill/>
              <a:round/>
            </a:ln>
            <a:effectLst>
              <a:outerShdw blurRad="25400" dist="12700" dir="5400000" algn="ctr" rotWithShape="0">
                <a:srgbClr val="000000">
                  <a:alpha val="50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25400" dist="12700" dir="5400000" algn="ctr" rotWithShape="0">
                  <a:srgbClr val="000000">
                    <a:alpha val="50000"/>
                  </a:srgbClr>
                </a:outerShdw>
              </a:effectLst>
            </c:spPr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Sheet1!$M$47:$M$57</c:f>
              <c:numCache>
                <c:formatCode>0.0%</c:formatCode>
                <c:ptCount val="11"/>
                <c:pt idx="1">
                  <c:v>3.8357951476029939E-2</c:v>
                </c:pt>
                <c:pt idx="2">
                  <c:v>-0.2376444783525784</c:v>
                </c:pt>
                <c:pt idx="3">
                  <c:v>7.6941342235100602E-2</c:v>
                </c:pt>
                <c:pt idx="4">
                  <c:v>7.3542422494320608E-2</c:v>
                </c:pt>
                <c:pt idx="5">
                  <c:v>7.018850896436446E-2</c:v>
                </c:pt>
                <c:pt idx="6">
                  <c:v>6.6876213075704877E-2</c:v>
                </c:pt>
                <c:pt idx="7">
                  <c:v>6.3602903624540061E-2</c:v>
                </c:pt>
                <c:pt idx="8">
                  <c:v>6.0366608621278482E-2</c:v>
                </c:pt>
                <c:pt idx="9">
                  <c:v>5.7165934581183971E-2</c:v>
                </c:pt>
                <c:pt idx="10">
                  <c:v>5.3999999999999999E-2</c:v>
                </c:pt>
              </c:numCache>
            </c:numRef>
          </c:val>
          <c:smooth val="0"/>
        </c:ser>
        <c:ser>
          <c:idx val="1"/>
          <c:order val="1"/>
          <c:tx>
            <c:v>Fund Returns YoY</c:v>
          </c:tx>
          <c:spPr>
            <a:ln w="28575" cap="rnd">
              <a:noFill/>
              <a:round/>
            </a:ln>
            <a:effectLst>
              <a:outerShdw blurRad="25400" dist="12700" dir="5400000" algn="ctr" rotWithShape="0">
                <a:srgbClr val="000000">
                  <a:alpha val="50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>
                <a:outerShdw blurRad="25400" dist="12700" dir="5400000" algn="ctr" rotWithShape="0">
                  <a:srgbClr val="000000">
                    <a:alpha val="50000"/>
                  </a:srgbClr>
                </a:outerShdw>
              </a:effectLst>
            </c:spPr>
          </c:marker>
          <c:cat>
            <c:strRef>
              <c:f>Sheet1!$A$47:$A$57</c:f>
              <c:strCache>
                <c:ptCount val="11"/>
                <c:pt idx="0">
                  <c:v>Now</c:v>
                </c:pt>
                <c:pt idx="1">
                  <c:v>T+1yr</c:v>
                </c:pt>
                <c:pt idx="2">
                  <c:v>T+2yrs</c:v>
                </c:pt>
                <c:pt idx="3">
                  <c:v>T+3yrs</c:v>
                </c:pt>
                <c:pt idx="4">
                  <c:v>T+4yrs</c:v>
                </c:pt>
                <c:pt idx="5">
                  <c:v>T+5yrs</c:v>
                </c:pt>
                <c:pt idx="6">
                  <c:v>T+6yrs</c:v>
                </c:pt>
                <c:pt idx="7">
                  <c:v>T+7yrs</c:v>
                </c:pt>
                <c:pt idx="8">
                  <c:v>T+8yrs</c:v>
                </c:pt>
                <c:pt idx="9">
                  <c:v>T+9yrs</c:v>
                </c:pt>
                <c:pt idx="10">
                  <c:v>T+10yrs</c:v>
                </c:pt>
              </c:strCache>
            </c:strRef>
          </c:cat>
          <c:val>
            <c:numRef>
              <c:f>Sheet1!$AJ$47:$AJ$57</c:f>
              <c:numCache>
                <c:formatCode>0.0%</c:formatCode>
                <c:ptCount val="11"/>
                <c:pt idx="1">
                  <c:v>3.8357951476029939E-2</c:v>
                </c:pt>
                <c:pt idx="2">
                  <c:v>-0.24864260142759576</c:v>
                </c:pt>
                <c:pt idx="3">
                  <c:v>8.0470620117602795E-2</c:v>
                </c:pt>
                <c:pt idx="4">
                  <c:v>7.9107118191255543E-2</c:v>
                </c:pt>
                <c:pt idx="5">
                  <c:v>7.8473509380976927E-2</c:v>
                </c:pt>
                <c:pt idx="6">
                  <c:v>7.7885214424264201E-2</c:v>
                </c:pt>
                <c:pt idx="7">
                  <c:v>7.7338373402827731E-2</c:v>
                </c:pt>
                <c:pt idx="8">
                  <c:v>7.6829529705968153E-2</c:v>
                </c:pt>
                <c:pt idx="9">
                  <c:v>7.6355578895135529E-2</c:v>
                </c:pt>
                <c:pt idx="10">
                  <c:v>7.5913725186075837E-2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06848"/>
        <c:axId val="422909984"/>
      </c:lineChart>
      <c:catAx>
        <c:axId val="42290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09984"/>
        <c:crosses val="autoZero"/>
        <c:auto val="1"/>
        <c:lblAlgn val="ctr"/>
        <c:lblOffset val="100"/>
        <c:noMultiLvlLbl val="0"/>
      </c:catAx>
      <c:valAx>
        <c:axId val="4229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Return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300037</xdr:colOff>
      <xdr:row>6</xdr:row>
      <xdr:rowOff>180974</xdr:rowOff>
    </xdr:from>
    <xdr:to>
      <xdr:col>26</xdr:col>
      <xdr:colOff>142875</xdr:colOff>
      <xdr:row>23</xdr:row>
      <xdr:rowOff>57150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6</xdr:row>
      <xdr:rowOff>180975</xdr:rowOff>
    </xdr:from>
    <xdr:to>
      <xdr:col>7</xdr:col>
      <xdr:colOff>600075</xdr:colOff>
      <xdr:row>23</xdr:row>
      <xdr:rowOff>57150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609602</xdr:colOff>
      <xdr:row>6</xdr:row>
      <xdr:rowOff>180976</xdr:rowOff>
    </xdr:from>
    <xdr:to>
      <xdr:col>15</xdr:col>
      <xdr:colOff>285750</xdr:colOff>
      <xdr:row>23</xdr:row>
      <xdr:rowOff>57150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609600</xdr:colOff>
      <xdr:row>24</xdr:row>
      <xdr:rowOff>184150</xdr:rowOff>
    </xdr:from>
    <xdr:to>
      <xdr:col>15</xdr:col>
      <xdr:colOff>285751</xdr:colOff>
      <xdr:row>40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85727</xdr:colOff>
      <xdr:row>24</xdr:row>
      <xdr:rowOff>180975</xdr:rowOff>
    </xdr:from>
    <xdr:to>
      <xdr:col>7</xdr:col>
      <xdr:colOff>596901</xdr:colOff>
      <xdr:row>40</xdr:row>
      <xdr:rowOff>1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295276</xdr:colOff>
      <xdr:row>24</xdr:row>
      <xdr:rowOff>180975</xdr:rowOff>
    </xdr:from>
    <xdr:to>
      <xdr:col>26</xdr:col>
      <xdr:colOff>142875</xdr:colOff>
      <xdr:row>40</xdr:row>
      <xdr:rowOff>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34"/>
  <sheetViews>
    <sheetView tabSelected="1" zoomScaleNormal="100" workbookViewId="0"/>
  </sheetViews>
  <sheetFormatPr defaultRowHeight="15" x14ac:dyDescent="0.25"/>
  <cols>
    <col min="1" max="1" width="7.5703125" style="10" bestFit="1" customWidth="1"/>
    <col min="2" max="2" width="13.85546875" style="10" bestFit="1" customWidth="1"/>
    <col min="3" max="3" width="8.85546875" style="3" bestFit="1" customWidth="1"/>
    <col min="4" max="4" width="6.140625" style="17" bestFit="1" customWidth="1"/>
    <col min="5" max="5" width="8.42578125" style="4" bestFit="1" customWidth="1"/>
    <col min="6" max="6" width="10.7109375" style="4" bestFit="1" customWidth="1"/>
    <col min="7" max="7" width="10.85546875" style="11" customWidth="1"/>
    <col min="8" max="8" width="11.5703125" style="11" customWidth="1"/>
    <col min="9" max="9" width="13.42578125" style="11" customWidth="1"/>
    <col min="10" max="10" width="9.85546875" style="11" bestFit="1" customWidth="1"/>
    <col min="11" max="11" width="9" style="11" bestFit="1" customWidth="1"/>
    <col min="12" max="12" width="11.5703125" style="11" customWidth="1"/>
    <col min="13" max="13" width="10.5703125" style="11" customWidth="1"/>
    <col min="14" max="14" width="7.5703125" style="11" customWidth="1"/>
    <col min="15" max="15" width="6.85546875" style="11" bestFit="1" customWidth="1"/>
    <col min="16" max="17" width="6.85546875" style="11" customWidth="1"/>
    <col min="18" max="18" width="7.85546875" style="11" customWidth="1"/>
    <col min="19" max="28" width="6.85546875" style="11" customWidth="1"/>
    <col min="29" max="29" width="15.85546875" style="11" bestFit="1" customWidth="1"/>
    <col min="30" max="30" width="3.28515625" style="11" customWidth="1"/>
    <col min="31" max="31" width="12.140625" style="11" customWidth="1"/>
    <col min="32" max="32" width="8.42578125" style="11" customWidth="1"/>
    <col min="33" max="33" width="10.7109375" style="11" customWidth="1"/>
    <col min="34" max="34" width="6.85546875" style="11" customWidth="1"/>
    <col min="35" max="35" width="10.42578125" style="11" customWidth="1"/>
    <col min="36" max="36" width="10.5703125" style="11" customWidth="1"/>
    <col min="37" max="37" width="3.42578125" style="11" customWidth="1"/>
    <col min="38" max="38" width="7.5703125" style="11" bestFit="1" customWidth="1"/>
    <col min="39" max="39" width="3.5703125" style="1" customWidth="1"/>
    <col min="40" max="40" width="5.140625" style="1" bestFit="1" customWidth="1"/>
    <col min="41" max="41" width="6.5703125" style="11" customWidth="1"/>
    <col min="42" max="42" width="6.85546875" style="11" bestFit="1" customWidth="1"/>
    <col min="43" max="43" width="9" style="11" bestFit="1" customWidth="1"/>
    <col min="44" max="44" width="8.140625" style="11" bestFit="1" customWidth="1"/>
    <col min="45" max="45" width="2.5703125" style="11" customWidth="1"/>
    <col min="46" max="46" width="3.85546875" style="11" customWidth="1"/>
    <col min="47" max="47" width="5.140625" style="11" bestFit="1" customWidth="1"/>
    <col min="48" max="48" width="7.140625" style="11" customWidth="1"/>
    <col min="49" max="49" width="6.85546875" style="11" bestFit="1" customWidth="1"/>
    <col min="50" max="50" width="9" style="11" bestFit="1" customWidth="1"/>
    <col min="51" max="51" width="7" style="11" bestFit="1" customWidth="1"/>
    <col min="52" max="52" width="2.42578125" style="11" customWidth="1"/>
    <col min="53" max="53" width="3.5703125" style="11" bestFit="1" customWidth="1"/>
    <col min="54" max="54" width="5.42578125" style="11" bestFit="1" customWidth="1"/>
    <col min="55" max="55" width="7.28515625" style="11" customWidth="1"/>
    <col min="56" max="56" width="6.85546875" style="11" bestFit="1" customWidth="1"/>
    <col min="57" max="57" width="9" style="11" bestFit="1" customWidth="1"/>
    <col min="58" max="58" width="8.42578125" style="11" customWidth="1"/>
    <col min="59" max="59" width="2.42578125" style="11" customWidth="1"/>
    <col min="60" max="60" width="3.5703125" style="11" bestFit="1" customWidth="1"/>
    <col min="61" max="61" width="5.140625" style="11" bestFit="1" customWidth="1"/>
    <col min="62" max="62" width="6.85546875" style="11" customWidth="1"/>
    <col min="63" max="63" width="6.85546875" style="11" bestFit="1" customWidth="1"/>
    <col min="64" max="64" width="9" style="11" bestFit="1" customWidth="1"/>
    <col min="65" max="65" width="7" style="11" bestFit="1" customWidth="1"/>
    <col min="66" max="66" width="3.28515625" style="11" customWidth="1"/>
    <col min="67" max="67" width="4.28515625" style="11" customWidth="1"/>
    <col min="68" max="68" width="5.140625" style="11" bestFit="1" customWidth="1"/>
    <col min="69" max="70" width="6.85546875" style="11" bestFit="1" customWidth="1"/>
    <col min="71" max="71" width="9" style="11" bestFit="1" customWidth="1"/>
    <col min="72" max="72" width="7" style="11" bestFit="1" customWidth="1"/>
    <col min="73" max="73" width="3.28515625" style="11" customWidth="1"/>
    <col min="74" max="74" width="3.5703125" style="11" bestFit="1" customWidth="1"/>
    <col min="75" max="75" width="5.140625" style="11" bestFit="1" customWidth="1"/>
    <col min="76" max="77" width="7" style="11" customWidth="1"/>
    <col min="78" max="78" width="9" style="11" bestFit="1" customWidth="1"/>
    <col min="79" max="79" width="8" style="11" bestFit="1" customWidth="1"/>
    <col min="80" max="80" width="3.42578125" style="11" customWidth="1"/>
    <col min="81" max="81" width="3.5703125" style="11" bestFit="1" customWidth="1"/>
    <col min="82" max="82" width="5.140625" style="11" bestFit="1" customWidth="1"/>
    <col min="83" max="83" width="7.28515625" style="11" bestFit="1" customWidth="1"/>
    <col min="84" max="84" width="6.85546875" style="11" bestFit="1" customWidth="1"/>
    <col min="85" max="85" width="9" style="11" bestFit="1" customWidth="1"/>
    <col min="86" max="86" width="8" style="11" customWidth="1"/>
    <col min="87" max="87" width="2.7109375" style="11" customWidth="1"/>
    <col min="88" max="88" width="4.42578125" style="11" customWidth="1"/>
    <col min="89" max="89" width="5.140625" style="11" bestFit="1" customWidth="1"/>
    <col min="90" max="91" width="8" style="11" customWidth="1"/>
    <col min="92" max="92" width="9" style="11" bestFit="1" customWidth="1"/>
    <col min="93" max="93" width="9.42578125" style="11" customWidth="1"/>
    <col min="94" max="94" width="2" style="11" customWidth="1"/>
    <col min="95" max="95" width="3.85546875" style="11" customWidth="1"/>
    <col min="96" max="96" width="5.140625" style="11" bestFit="1" customWidth="1"/>
    <col min="97" max="98" width="6.85546875" style="11" bestFit="1" customWidth="1"/>
    <col min="99" max="99" width="9" style="11" bestFit="1" customWidth="1"/>
    <col min="100" max="100" width="7" style="11" bestFit="1" customWidth="1"/>
    <col min="101" max="101" width="2.7109375" style="11" customWidth="1"/>
    <col min="102" max="102" width="3.5703125" style="11" customWidth="1"/>
    <col min="103" max="103" width="5.140625" style="11" bestFit="1" customWidth="1"/>
    <col min="104" max="105" width="8" style="11" customWidth="1"/>
    <col min="106" max="106" width="9" style="11" bestFit="1" customWidth="1"/>
    <col min="107" max="107" width="5.85546875" style="11" bestFit="1" customWidth="1"/>
    <col min="108" max="108" width="3.85546875" style="11" customWidth="1"/>
    <col min="109" max="16384" width="9.140625" style="11"/>
  </cols>
  <sheetData>
    <row r="1" spans="1:36" x14ac:dyDescent="0.25">
      <c r="G1" s="102" t="s">
        <v>61</v>
      </c>
      <c r="H1" s="134" t="s">
        <v>67</v>
      </c>
      <c r="I1" s="135"/>
      <c r="J1" s="135"/>
      <c r="K1" s="135"/>
      <c r="L1" s="135"/>
      <c r="M1" s="135"/>
      <c r="N1" s="135"/>
      <c r="O1" s="135"/>
      <c r="P1" s="135"/>
      <c r="Q1" s="135"/>
      <c r="R1" s="136"/>
    </row>
    <row r="2" spans="1:36" ht="15.75" thickBot="1" x14ac:dyDescent="0.3">
      <c r="G2" s="98"/>
      <c r="H2" s="99" t="s">
        <v>7</v>
      </c>
      <c r="I2" s="99" t="s">
        <v>8</v>
      </c>
      <c r="J2" s="99" t="s">
        <v>9</v>
      </c>
      <c r="K2" s="99" t="s">
        <v>10</v>
      </c>
      <c r="L2" s="99" t="s">
        <v>47</v>
      </c>
      <c r="M2" s="99" t="s">
        <v>12</v>
      </c>
      <c r="N2" s="99" t="s">
        <v>13</v>
      </c>
      <c r="O2" s="99" t="s">
        <v>14</v>
      </c>
      <c r="P2" s="99" t="s">
        <v>15</v>
      </c>
      <c r="Q2" s="99" t="s">
        <v>16</v>
      </c>
      <c r="R2" s="100" t="s">
        <v>17</v>
      </c>
    </row>
    <row r="3" spans="1:36" x14ac:dyDescent="0.25">
      <c r="G3" s="101" t="s">
        <v>18</v>
      </c>
      <c r="H3" s="24">
        <v>2.4E-2</v>
      </c>
      <c r="I3" s="25">
        <f>H3</f>
        <v>2.4E-2</v>
      </c>
      <c r="J3" s="25">
        <v>7.0000000000000007E-2</v>
      </c>
      <c r="K3" s="25">
        <f>J3</f>
        <v>7.0000000000000007E-2</v>
      </c>
      <c r="L3" s="25">
        <f>K3</f>
        <v>7.0000000000000007E-2</v>
      </c>
      <c r="M3" s="25">
        <f>L3</f>
        <v>7.0000000000000007E-2</v>
      </c>
      <c r="N3" s="25">
        <f>M3</f>
        <v>7.0000000000000007E-2</v>
      </c>
      <c r="O3" s="25">
        <f>N3</f>
        <v>7.0000000000000007E-2</v>
      </c>
      <c r="P3" s="25">
        <f>O3</f>
        <v>7.0000000000000007E-2</v>
      </c>
      <c r="Q3" s="114">
        <f>P3</f>
        <v>7.0000000000000007E-2</v>
      </c>
      <c r="R3" s="26">
        <f>Q3</f>
        <v>7.0000000000000007E-2</v>
      </c>
    </row>
    <row r="4" spans="1:36" ht="15.75" thickBot="1" x14ac:dyDescent="0.3">
      <c r="G4" s="113" t="s">
        <v>19</v>
      </c>
      <c r="H4" s="27">
        <f>H3-0.016</f>
        <v>8.0000000000000002E-3</v>
      </c>
      <c r="I4" s="28">
        <f t="shared" ref="I4:R4" si="0">I3-0.016</f>
        <v>8.0000000000000002E-3</v>
      </c>
      <c r="J4" s="28">
        <f t="shared" si="0"/>
        <v>5.4000000000000006E-2</v>
      </c>
      <c r="K4" s="28">
        <f t="shared" si="0"/>
        <v>5.4000000000000006E-2</v>
      </c>
      <c r="L4" s="28">
        <f t="shared" si="0"/>
        <v>5.4000000000000006E-2</v>
      </c>
      <c r="M4" s="28">
        <f t="shared" si="0"/>
        <v>5.4000000000000006E-2</v>
      </c>
      <c r="N4" s="28">
        <f t="shared" si="0"/>
        <v>5.4000000000000006E-2</v>
      </c>
      <c r="O4" s="28">
        <f t="shared" si="0"/>
        <v>5.4000000000000006E-2</v>
      </c>
      <c r="P4" s="28">
        <f t="shared" si="0"/>
        <v>5.4000000000000006E-2</v>
      </c>
      <c r="Q4" s="28">
        <f t="shared" si="0"/>
        <v>5.4000000000000006E-2</v>
      </c>
      <c r="R4" s="29">
        <f t="shared" si="0"/>
        <v>5.4000000000000006E-2</v>
      </c>
    </row>
    <row r="5" spans="1:36" ht="15.75" thickBot="1" x14ac:dyDescent="0.3">
      <c r="X5" s="141" t="s">
        <v>72</v>
      </c>
    </row>
    <row r="6" spans="1:36" ht="15.75" thickBot="1" x14ac:dyDescent="0.3">
      <c r="A6" s="133" t="s">
        <v>63</v>
      </c>
      <c r="B6" s="116"/>
      <c r="C6" s="117"/>
      <c r="D6" s="118"/>
      <c r="E6" s="119"/>
      <c r="F6" s="119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20"/>
      <c r="AB6" s="12"/>
    </row>
    <row r="7" spans="1:36" x14ac:dyDescent="0.25">
      <c r="A7" s="121"/>
      <c r="B7" s="122"/>
      <c r="C7" s="123"/>
      <c r="D7" s="124"/>
      <c r="E7" s="125"/>
      <c r="F7" s="125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126"/>
      <c r="AB7" s="12"/>
    </row>
    <row r="8" spans="1:36" x14ac:dyDescent="0.25">
      <c r="A8" s="121"/>
      <c r="B8" s="122"/>
      <c r="C8" s="123"/>
      <c r="D8" s="124"/>
      <c r="E8" s="125"/>
      <c r="F8" s="125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126"/>
      <c r="AB8" s="12"/>
    </row>
    <row r="9" spans="1:36" x14ac:dyDescent="0.25">
      <c r="A9" s="121"/>
      <c r="B9" s="122"/>
      <c r="C9" s="123"/>
      <c r="D9" s="124"/>
      <c r="E9" s="125"/>
      <c r="F9" s="125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126"/>
      <c r="AB9" s="12"/>
    </row>
    <row r="10" spans="1:36" x14ac:dyDescent="0.25">
      <c r="A10" s="121"/>
      <c r="B10" s="122"/>
      <c r="C10" s="123"/>
      <c r="D10" s="124"/>
      <c r="E10" s="125"/>
      <c r="F10" s="125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126"/>
      <c r="AB10" s="12"/>
    </row>
    <row r="11" spans="1:36" x14ac:dyDescent="0.25">
      <c r="A11" s="121"/>
      <c r="B11" s="122"/>
      <c r="C11" s="123"/>
      <c r="D11" s="124"/>
      <c r="E11" s="125"/>
      <c r="F11" s="125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126"/>
      <c r="AB11" s="12"/>
    </row>
    <row r="12" spans="1:36" x14ac:dyDescent="0.25">
      <c r="A12" s="121"/>
      <c r="B12" s="122"/>
      <c r="C12" s="123"/>
      <c r="D12" s="124"/>
      <c r="E12" s="125"/>
      <c r="F12" s="125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126"/>
      <c r="AB12" s="12"/>
    </row>
    <row r="13" spans="1:36" x14ac:dyDescent="0.25">
      <c r="A13" s="121"/>
      <c r="B13" s="122"/>
      <c r="C13" s="123"/>
      <c r="D13" s="124"/>
      <c r="E13" s="125"/>
      <c r="F13" s="125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126"/>
      <c r="AB13" s="12"/>
    </row>
    <row r="14" spans="1:36" x14ac:dyDescent="0.25">
      <c r="A14" s="121"/>
      <c r="B14" s="122"/>
      <c r="C14" s="123"/>
      <c r="D14" s="124"/>
      <c r="E14" s="125"/>
      <c r="F14" s="125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126"/>
      <c r="AB14" s="12"/>
      <c r="AH14" s="6"/>
      <c r="AI14" s="6"/>
      <c r="AJ14" s="6"/>
    </row>
    <row r="15" spans="1:36" x14ac:dyDescent="0.25">
      <c r="A15" s="121"/>
      <c r="B15" s="122"/>
      <c r="C15" s="123"/>
      <c r="D15" s="124"/>
      <c r="E15" s="125"/>
      <c r="F15" s="125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126"/>
      <c r="AB15" s="12"/>
      <c r="AG15" s="6"/>
      <c r="AH15" s="6"/>
      <c r="AI15" s="6"/>
      <c r="AJ15" s="6"/>
    </row>
    <row r="16" spans="1:36" x14ac:dyDescent="0.25">
      <c r="A16" s="121"/>
      <c r="B16" s="122"/>
      <c r="C16" s="123"/>
      <c r="D16" s="124"/>
      <c r="E16" s="125"/>
      <c r="F16" s="125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26"/>
      <c r="AB16" s="12"/>
    </row>
    <row r="17" spans="1:28" x14ac:dyDescent="0.25">
      <c r="A17" s="121"/>
      <c r="B17" s="122"/>
      <c r="C17" s="123"/>
      <c r="D17" s="124"/>
      <c r="E17" s="125"/>
      <c r="F17" s="125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126"/>
      <c r="AB17" s="12"/>
    </row>
    <row r="18" spans="1:28" x14ac:dyDescent="0.25">
      <c r="A18" s="121"/>
      <c r="B18" s="122"/>
      <c r="C18" s="123"/>
      <c r="D18" s="124"/>
      <c r="E18" s="125"/>
      <c r="F18" s="125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126"/>
      <c r="AB18" s="12"/>
    </row>
    <row r="19" spans="1:28" x14ac:dyDescent="0.25">
      <c r="A19" s="121"/>
      <c r="B19" s="122"/>
      <c r="C19" s="123"/>
      <c r="D19" s="124"/>
      <c r="E19" s="125"/>
      <c r="F19" s="125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126"/>
      <c r="AB19" s="12"/>
    </row>
    <row r="20" spans="1:28" x14ac:dyDescent="0.25">
      <c r="A20" s="121"/>
      <c r="B20" s="122"/>
      <c r="C20" s="123"/>
      <c r="D20" s="124"/>
      <c r="E20" s="125"/>
      <c r="F20" s="125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126"/>
      <c r="AB20" s="12"/>
    </row>
    <row r="21" spans="1:28" x14ac:dyDescent="0.25">
      <c r="A21" s="121"/>
      <c r="B21" s="122"/>
      <c r="C21" s="123"/>
      <c r="D21" s="124"/>
      <c r="E21" s="125"/>
      <c r="F21" s="125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126"/>
      <c r="AB21" s="12"/>
    </row>
    <row r="22" spans="1:28" x14ac:dyDescent="0.25">
      <c r="A22" s="121"/>
      <c r="B22" s="122"/>
      <c r="C22" s="123"/>
      <c r="D22" s="124"/>
      <c r="E22" s="125"/>
      <c r="F22" s="125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126"/>
      <c r="AB22" s="12"/>
    </row>
    <row r="23" spans="1:28" x14ac:dyDescent="0.25">
      <c r="A23" s="121"/>
      <c r="B23" s="122"/>
      <c r="C23" s="123"/>
      <c r="D23" s="124"/>
      <c r="E23" s="125"/>
      <c r="F23" s="125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126"/>
      <c r="AB23" s="12"/>
    </row>
    <row r="24" spans="1:28" x14ac:dyDescent="0.25">
      <c r="A24" s="121"/>
      <c r="B24" s="122"/>
      <c r="C24" s="123"/>
      <c r="D24" s="124"/>
      <c r="E24" s="125"/>
      <c r="F24" s="125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126"/>
      <c r="AB24" s="12"/>
    </row>
    <row r="25" spans="1:28" x14ac:dyDescent="0.25">
      <c r="A25" s="121"/>
      <c r="B25" s="122"/>
      <c r="C25" s="123"/>
      <c r="D25" s="124"/>
      <c r="E25" s="125"/>
      <c r="F25" s="125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126"/>
      <c r="AB25" s="12"/>
    </row>
    <row r="26" spans="1:28" x14ac:dyDescent="0.25">
      <c r="A26" s="121"/>
      <c r="B26" s="122"/>
      <c r="C26" s="123"/>
      <c r="D26" s="124"/>
      <c r="E26" s="125"/>
      <c r="F26" s="125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126"/>
      <c r="AB26" s="12"/>
    </row>
    <row r="27" spans="1:28" x14ac:dyDescent="0.25">
      <c r="A27" s="121"/>
      <c r="B27" s="122"/>
      <c r="C27" s="123"/>
      <c r="D27" s="124"/>
      <c r="E27" s="125"/>
      <c r="F27" s="125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126"/>
      <c r="AB27" s="12"/>
    </row>
    <row r="28" spans="1:28" x14ac:dyDescent="0.25">
      <c r="A28" s="121"/>
      <c r="B28" s="122"/>
      <c r="C28" s="123"/>
      <c r="D28" s="124"/>
      <c r="E28" s="125"/>
      <c r="F28" s="125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126"/>
      <c r="AB28" s="12"/>
    </row>
    <row r="29" spans="1:28" x14ac:dyDescent="0.25">
      <c r="A29" s="121"/>
      <c r="B29" s="122"/>
      <c r="C29" s="123"/>
      <c r="D29" s="124"/>
      <c r="E29" s="125"/>
      <c r="F29" s="125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126"/>
      <c r="AB29" s="12"/>
    </row>
    <row r="30" spans="1:28" x14ac:dyDescent="0.25">
      <c r="A30" s="121"/>
      <c r="B30" s="122"/>
      <c r="C30" s="123"/>
      <c r="D30" s="124"/>
      <c r="E30" s="125"/>
      <c r="F30" s="125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126"/>
      <c r="AB30" s="12"/>
    </row>
    <row r="31" spans="1:28" x14ac:dyDescent="0.25">
      <c r="A31" s="121"/>
      <c r="B31" s="122"/>
      <c r="C31" s="123"/>
      <c r="D31" s="124"/>
      <c r="E31" s="125"/>
      <c r="F31" s="125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126"/>
      <c r="AB31" s="12"/>
    </row>
    <row r="32" spans="1:28" x14ac:dyDescent="0.25">
      <c r="A32" s="121"/>
      <c r="B32" s="122"/>
      <c r="C32" s="123"/>
      <c r="D32" s="124"/>
      <c r="E32" s="125"/>
      <c r="F32" s="125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126"/>
      <c r="AB32" s="12"/>
    </row>
    <row r="33" spans="1:107" x14ac:dyDescent="0.25">
      <c r="A33" s="121"/>
      <c r="B33" s="122"/>
      <c r="C33" s="123"/>
      <c r="D33" s="124"/>
      <c r="E33" s="125"/>
      <c r="F33" s="125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126"/>
      <c r="AB33" s="12"/>
    </row>
    <row r="34" spans="1:107" x14ac:dyDescent="0.25">
      <c r="A34" s="121"/>
      <c r="B34" s="122"/>
      <c r="C34" s="123"/>
      <c r="D34" s="124"/>
      <c r="E34" s="125"/>
      <c r="F34" s="125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126"/>
      <c r="AB34" s="12"/>
    </row>
    <row r="35" spans="1:107" x14ac:dyDescent="0.25">
      <c r="A35" s="121"/>
      <c r="B35" s="122"/>
      <c r="C35" s="123"/>
      <c r="D35" s="124"/>
      <c r="E35" s="125"/>
      <c r="F35" s="125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126"/>
      <c r="AB35" s="12"/>
    </row>
    <row r="36" spans="1:107" x14ac:dyDescent="0.25">
      <c r="A36" s="121"/>
      <c r="B36" s="122"/>
      <c r="C36" s="123"/>
      <c r="D36" s="124"/>
      <c r="E36" s="125"/>
      <c r="F36" s="125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126"/>
      <c r="AB36" s="12"/>
    </row>
    <row r="37" spans="1:107" x14ac:dyDescent="0.25">
      <c r="A37" s="121"/>
      <c r="B37" s="122"/>
      <c r="C37" s="123"/>
      <c r="D37" s="124"/>
      <c r="E37" s="125"/>
      <c r="F37" s="125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126"/>
      <c r="AB37" s="12"/>
    </row>
    <row r="38" spans="1:107" x14ac:dyDescent="0.25">
      <c r="A38" s="121"/>
      <c r="B38" s="122"/>
      <c r="C38" s="123"/>
      <c r="D38" s="124"/>
      <c r="E38" s="125"/>
      <c r="F38" s="125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126"/>
      <c r="AB38" s="12"/>
    </row>
    <row r="39" spans="1:107" x14ac:dyDescent="0.25">
      <c r="A39" s="121"/>
      <c r="B39" s="122"/>
      <c r="C39" s="123"/>
      <c r="D39" s="124"/>
      <c r="E39" s="125"/>
      <c r="F39" s="125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126"/>
      <c r="AB39" s="12"/>
    </row>
    <row r="40" spans="1:107" x14ac:dyDescent="0.25">
      <c r="A40" s="121"/>
      <c r="B40" s="122"/>
      <c r="C40" s="123"/>
      <c r="D40" s="124"/>
      <c r="E40" s="125"/>
      <c r="F40" s="125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126"/>
      <c r="AB40" s="12"/>
    </row>
    <row r="41" spans="1:107" ht="15.75" thickBot="1" x14ac:dyDescent="0.3">
      <c r="A41" s="127"/>
      <c r="B41" s="128"/>
      <c r="C41" s="129"/>
      <c r="D41" s="130"/>
      <c r="E41" s="131"/>
      <c r="F41" s="131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132"/>
      <c r="AB41" s="12"/>
    </row>
    <row r="42" spans="1:107" ht="15.75" thickBot="1" x14ac:dyDescent="0.3"/>
    <row r="43" spans="1:107" ht="15.75" thickBot="1" x14ac:dyDescent="0.3">
      <c r="A43" s="102" t="s">
        <v>68</v>
      </c>
      <c r="B43" s="30"/>
      <c r="C43" s="31"/>
      <c r="D43" s="32"/>
      <c r="E43" s="33"/>
      <c r="F43" s="33"/>
      <c r="G43" s="34"/>
      <c r="H43" s="34"/>
      <c r="I43" s="34"/>
      <c r="J43" s="34"/>
      <c r="K43" s="34"/>
      <c r="L43" s="34"/>
      <c r="M43" s="35"/>
      <c r="O43" s="102" t="s">
        <v>62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103"/>
      <c r="AL43" s="139" t="s">
        <v>69</v>
      </c>
      <c r="AM43" s="140"/>
      <c r="AN43" s="67"/>
      <c r="AO43" s="34"/>
      <c r="AP43" s="34"/>
      <c r="AQ43" s="34"/>
      <c r="AR43" s="34"/>
      <c r="AS43" s="88"/>
      <c r="AT43" s="34"/>
      <c r="AU43" s="34"/>
      <c r="AV43" s="34"/>
      <c r="AW43" s="34"/>
      <c r="AX43" s="34"/>
      <c r="AY43" s="34"/>
      <c r="AZ43" s="88"/>
      <c r="BA43" s="34"/>
      <c r="BB43" s="34"/>
      <c r="BC43" s="34"/>
      <c r="BD43" s="34"/>
      <c r="BE43" s="34"/>
      <c r="BF43" s="34"/>
      <c r="BG43" s="88"/>
      <c r="BH43" s="34"/>
      <c r="BI43" s="34"/>
      <c r="BJ43" s="34"/>
      <c r="BK43" s="34"/>
      <c r="BL43" s="34"/>
      <c r="BM43" s="34"/>
      <c r="BN43" s="88"/>
      <c r="BO43" s="34"/>
      <c r="BP43" s="34"/>
      <c r="BQ43" s="34"/>
      <c r="BR43" s="34"/>
      <c r="BS43" s="34"/>
      <c r="BT43" s="34"/>
      <c r="BU43" s="88"/>
      <c r="BV43" s="34"/>
      <c r="BW43" s="34"/>
      <c r="BX43" s="34"/>
      <c r="BY43" s="34"/>
      <c r="BZ43" s="34"/>
      <c r="CA43" s="34"/>
      <c r="CB43" s="88"/>
      <c r="CC43" s="34"/>
      <c r="CD43" s="34"/>
      <c r="CE43" s="34"/>
      <c r="CF43" s="34"/>
      <c r="CG43" s="34"/>
      <c r="CH43" s="34"/>
      <c r="CI43" s="88"/>
      <c r="CJ43" s="34"/>
      <c r="CK43" s="34"/>
      <c r="CL43" s="34"/>
      <c r="CM43" s="34"/>
      <c r="CN43" s="34"/>
      <c r="CO43" s="34"/>
      <c r="CP43" s="88"/>
      <c r="CQ43" s="34"/>
      <c r="CR43" s="34"/>
      <c r="CS43" s="34"/>
      <c r="CT43" s="34"/>
      <c r="CU43" s="34"/>
      <c r="CV43" s="34"/>
      <c r="CW43" s="88"/>
      <c r="CX43" s="34"/>
      <c r="CY43" s="34"/>
      <c r="CZ43" s="34"/>
      <c r="DA43" s="34"/>
      <c r="DB43" s="34"/>
      <c r="DC43" s="35"/>
    </row>
    <row r="44" spans="1:107" ht="15.75" thickBot="1" x14ac:dyDescent="0.3">
      <c r="A44" s="36"/>
      <c r="B44" s="37"/>
      <c r="C44" s="8" t="s">
        <v>49</v>
      </c>
      <c r="D44" s="38"/>
      <c r="E44" s="16"/>
      <c r="F44" s="9"/>
      <c r="G44" s="115">
        <f>H3</f>
        <v>2.4E-2</v>
      </c>
      <c r="H44" s="12"/>
      <c r="I44" s="12"/>
      <c r="J44" s="12"/>
      <c r="K44" s="12"/>
      <c r="L44" s="12"/>
      <c r="M44" s="39"/>
      <c r="O44" s="5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59"/>
      <c r="AK44" s="1"/>
      <c r="AL44" s="58"/>
      <c r="AM44" s="68"/>
      <c r="AN44" s="68"/>
      <c r="AO44" s="68"/>
      <c r="AP44" s="69"/>
      <c r="AQ44" s="20"/>
      <c r="AR44" s="20"/>
      <c r="AS44" s="89"/>
      <c r="AT44" s="20"/>
      <c r="AU44" s="20"/>
      <c r="AV44" s="20"/>
      <c r="AW44" s="12"/>
      <c r="AX44" s="12"/>
      <c r="AY44" s="12"/>
      <c r="AZ44" s="90"/>
      <c r="BA44" s="12"/>
      <c r="BB44" s="12"/>
      <c r="BC44" s="12"/>
      <c r="BD44" s="12"/>
      <c r="BE44" s="12"/>
      <c r="BF44" s="12"/>
      <c r="BG44" s="90"/>
      <c r="BH44" s="12"/>
      <c r="BI44" s="12"/>
      <c r="BJ44" s="12"/>
      <c r="BK44" s="12"/>
      <c r="BL44" s="12"/>
      <c r="BM44" s="12"/>
      <c r="BN44" s="90"/>
      <c r="BO44" s="12"/>
      <c r="BP44" s="12"/>
      <c r="BQ44" s="12"/>
      <c r="BR44" s="12"/>
      <c r="BS44" s="12"/>
      <c r="BT44" s="12"/>
      <c r="BU44" s="90"/>
      <c r="BV44" s="12"/>
      <c r="BW44" s="12"/>
      <c r="BX44" s="12"/>
      <c r="BY44" s="12"/>
      <c r="BZ44" s="12"/>
      <c r="CA44" s="12"/>
      <c r="CB44" s="90"/>
      <c r="CC44" s="12"/>
      <c r="CD44" s="12"/>
      <c r="CE44" s="12"/>
      <c r="CF44" s="12"/>
      <c r="CG44" s="12"/>
      <c r="CH44" s="12"/>
      <c r="CI44" s="90"/>
      <c r="CJ44" s="12"/>
      <c r="CK44" s="12"/>
      <c r="CL44" s="12"/>
      <c r="CM44" s="12"/>
      <c r="CN44" s="12"/>
      <c r="CO44" s="12"/>
      <c r="CP44" s="90"/>
      <c r="CQ44" s="12"/>
      <c r="CR44" s="12"/>
      <c r="CS44" s="12"/>
      <c r="CT44" s="12"/>
      <c r="CU44" s="12"/>
      <c r="CV44" s="12"/>
      <c r="CW44" s="90"/>
      <c r="CX44" s="12"/>
      <c r="CY44" s="12"/>
      <c r="CZ44" s="12"/>
      <c r="DA44" s="12"/>
      <c r="DB44" s="12"/>
      <c r="DC44" s="39"/>
    </row>
    <row r="45" spans="1:107" ht="15.75" thickBot="1" x14ac:dyDescent="0.3">
      <c r="A45" s="36"/>
      <c r="B45" s="3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9"/>
      <c r="O45" s="60"/>
      <c r="P45" s="105" t="s">
        <v>65</v>
      </c>
      <c r="Q45" s="104"/>
      <c r="R45" s="104"/>
      <c r="S45" s="104"/>
      <c r="T45" s="104"/>
      <c r="U45" s="104"/>
      <c r="V45" s="104"/>
      <c r="W45" s="104"/>
      <c r="X45" s="104"/>
      <c r="Y45" s="104"/>
      <c r="Z45" s="109"/>
      <c r="AA45" s="12"/>
      <c r="AB45" s="12"/>
      <c r="AC45" s="12"/>
      <c r="AD45" s="12"/>
      <c r="AE45" s="12"/>
      <c r="AF45" s="12"/>
      <c r="AG45" s="12"/>
      <c r="AH45" s="12"/>
      <c r="AI45" s="12"/>
      <c r="AJ45" s="39"/>
      <c r="AL45" s="60"/>
      <c r="AM45" s="14"/>
      <c r="AN45" s="14"/>
      <c r="AO45" s="8" t="s">
        <v>50</v>
      </c>
      <c r="AP45" s="9"/>
      <c r="AQ45" s="115">
        <f>I3</f>
        <v>2.4E-2</v>
      </c>
      <c r="AR45" s="48"/>
      <c r="AS45" s="90"/>
      <c r="AT45" s="12"/>
      <c r="AU45" s="12"/>
      <c r="AV45" s="12"/>
      <c r="AW45" s="12"/>
      <c r="AX45" s="12"/>
      <c r="AY45" s="12"/>
      <c r="AZ45" s="90"/>
      <c r="BA45" s="12"/>
      <c r="BB45" s="12"/>
      <c r="BC45" s="12"/>
      <c r="BD45" s="12"/>
      <c r="BE45" s="12"/>
      <c r="BF45" s="12"/>
      <c r="BG45" s="90"/>
      <c r="BH45" s="12"/>
      <c r="BI45" s="12"/>
      <c r="BJ45" s="12"/>
      <c r="BK45" s="12"/>
      <c r="BL45" s="12"/>
      <c r="BM45" s="12"/>
      <c r="BN45" s="90"/>
      <c r="BO45" s="12"/>
      <c r="BP45" s="12"/>
      <c r="BQ45" s="12"/>
      <c r="BR45" s="12"/>
      <c r="BS45" s="12"/>
      <c r="BT45" s="12"/>
      <c r="BU45" s="90"/>
      <c r="BV45" s="12"/>
      <c r="BW45" s="12"/>
      <c r="BX45" s="12"/>
      <c r="BY45" s="12"/>
      <c r="BZ45" s="12"/>
      <c r="CA45" s="12"/>
      <c r="CB45" s="90"/>
      <c r="CC45" s="12"/>
      <c r="CD45" s="12"/>
      <c r="CE45" s="12"/>
      <c r="CF45" s="12"/>
      <c r="CG45" s="12"/>
      <c r="CH45" s="12"/>
      <c r="CI45" s="90"/>
      <c r="CJ45" s="12"/>
      <c r="CK45" s="12"/>
      <c r="CL45" s="12"/>
      <c r="CM45" s="12"/>
      <c r="CN45" s="12"/>
      <c r="CO45" s="12"/>
      <c r="CP45" s="90"/>
      <c r="CQ45" s="12"/>
      <c r="CR45" s="12"/>
      <c r="CS45" s="12"/>
      <c r="CT45" s="12"/>
      <c r="CU45" s="12"/>
      <c r="CV45" s="12"/>
      <c r="CW45" s="90"/>
      <c r="CX45" s="12"/>
      <c r="CY45" s="12"/>
      <c r="CZ45" s="12"/>
      <c r="DA45" s="12"/>
      <c r="DB45" s="12"/>
      <c r="DC45" s="39"/>
    </row>
    <row r="46" spans="1:107" s="15" customFormat="1" ht="17.25" customHeight="1" thickBot="1" x14ac:dyDescent="0.3">
      <c r="A46" s="40" t="s">
        <v>44</v>
      </c>
      <c r="B46" s="41" t="s">
        <v>60</v>
      </c>
      <c r="C46" s="42" t="s">
        <v>4</v>
      </c>
      <c r="D46" s="43" t="s">
        <v>1</v>
      </c>
      <c r="E46" s="44" t="s">
        <v>2</v>
      </c>
      <c r="F46" s="44" t="s">
        <v>3</v>
      </c>
      <c r="G46" s="45" t="s">
        <v>42</v>
      </c>
      <c r="H46" s="45" t="s">
        <v>41</v>
      </c>
      <c r="I46" s="45" t="s">
        <v>45</v>
      </c>
      <c r="J46" s="45" t="s">
        <v>46</v>
      </c>
      <c r="K46" s="45"/>
      <c r="L46" s="45" t="s">
        <v>48</v>
      </c>
      <c r="M46" s="46" t="s">
        <v>66</v>
      </c>
      <c r="O46" s="40" t="s">
        <v>44</v>
      </c>
      <c r="P46" s="106" t="s">
        <v>27</v>
      </c>
      <c r="Q46" s="61" t="s">
        <v>26</v>
      </c>
      <c r="R46" s="61" t="s">
        <v>28</v>
      </c>
      <c r="S46" s="61" t="s">
        <v>29</v>
      </c>
      <c r="T46" s="61" t="s">
        <v>30</v>
      </c>
      <c r="U46" s="61" t="s">
        <v>31</v>
      </c>
      <c r="V46" s="61" t="s">
        <v>32</v>
      </c>
      <c r="W46" s="61" t="s">
        <v>33</v>
      </c>
      <c r="X46" s="61" t="s">
        <v>34</v>
      </c>
      <c r="Y46" s="61" t="s">
        <v>37</v>
      </c>
      <c r="Z46" s="110" t="s">
        <v>38</v>
      </c>
      <c r="AA46" s="21" t="s">
        <v>70</v>
      </c>
      <c r="AB46" s="21" t="s">
        <v>71</v>
      </c>
      <c r="AC46" s="62" t="s">
        <v>6</v>
      </c>
      <c r="AD46" s="62" t="s">
        <v>36</v>
      </c>
      <c r="AE46" s="45" t="s">
        <v>39</v>
      </c>
      <c r="AF46" s="45" t="s">
        <v>40</v>
      </c>
      <c r="AG46" s="45" t="s">
        <v>43</v>
      </c>
      <c r="AH46" s="44"/>
      <c r="AI46" s="63" t="s">
        <v>64</v>
      </c>
      <c r="AJ46" s="46" t="s">
        <v>66</v>
      </c>
      <c r="AL46" s="40" t="s">
        <v>44</v>
      </c>
      <c r="AM46" s="8"/>
      <c r="AN46" s="9"/>
      <c r="AO46" s="45"/>
      <c r="AP46" s="70"/>
      <c r="AQ46" s="71"/>
      <c r="AR46" s="71"/>
      <c r="AS46" s="91"/>
      <c r="AT46" s="8"/>
      <c r="AU46" s="8"/>
      <c r="AV46" s="8" t="s">
        <v>51</v>
      </c>
      <c r="AW46" s="9"/>
      <c r="AX46" s="115">
        <f>J3</f>
        <v>7.0000000000000007E-2</v>
      </c>
      <c r="AY46" s="8"/>
      <c r="AZ46" s="94"/>
      <c r="BA46" s="45"/>
      <c r="BB46" s="45"/>
      <c r="BC46" s="45"/>
      <c r="BD46" s="45"/>
      <c r="BE46" s="45"/>
      <c r="BF46" s="45"/>
      <c r="BG46" s="94"/>
      <c r="BH46" s="45"/>
      <c r="BI46" s="45"/>
      <c r="BJ46" s="45"/>
      <c r="BK46" s="45"/>
      <c r="BL46" s="45"/>
      <c r="BM46" s="45"/>
      <c r="BN46" s="94"/>
      <c r="BO46" s="45"/>
      <c r="BP46" s="45"/>
      <c r="BQ46" s="45"/>
      <c r="BR46" s="45"/>
      <c r="BS46" s="45"/>
      <c r="BT46" s="45"/>
      <c r="BU46" s="94"/>
      <c r="BV46" s="45"/>
      <c r="BW46" s="45"/>
      <c r="BX46" s="45"/>
      <c r="BY46" s="45"/>
      <c r="BZ46" s="45"/>
      <c r="CA46" s="45"/>
      <c r="CB46" s="94"/>
      <c r="CC46" s="45"/>
      <c r="CD46" s="45"/>
      <c r="CE46" s="45"/>
      <c r="CF46" s="45"/>
      <c r="CG46" s="45"/>
      <c r="CH46" s="45"/>
      <c r="CI46" s="94"/>
      <c r="CJ46" s="45"/>
      <c r="CK46" s="45"/>
      <c r="CL46" s="45"/>
      <c r="CM46" s="45"/>
      <c r="CN46" s="45"/>
      <c r="CO46" s="45"/>
      <c r="CP46" s="94"/>
      <c r="CQ46" s="45"/>
      <c r="CR46" s="45"/>
      <c r="CS46" s="45"/>
      <c r="CT46" s="45"/>
      <c r="CU46" s="45"/>
      <c r="CV46" s="45"/>
      <c r="CW46" s="94"/>
      <c r="CX46" s="45"/>
      <c r="CY46" s="45"/>
      <c r="CZ46" s="45"/>
      <c r="DA46" s="45"/>
      <c r="DB46" s="45"/>
      <c r="DC46" s="46"/>
    </row>
    <row r="47" spans="1:107" ht="15.75" thickBot="1" x14ac:dyDescent="0.3">
      <c r="A47" s="40" t="s">
        <v>7</v>
      </c>
      <c r="B47" s="47">
        <f>AI47-L47</f>
        <v>0</v>
      </c>
      <c r="C47" s="13">
        <v>10</v>
      </c>
      <c r="D47" s="5">
        <f>$H$4+(C47-1)*($H$3-$H$4)/(10-1)</f>
        <v>2.4E-2</v>
      </c>
      <c r="E47" s="19">
        <f>$C$133*(1/(1+D47/$A$133)^($A$133*C47))</f>
        <v>78.886090522101199</v>
      </c>
      <c r="F47" s="19">
        <f>$C$133*(($G$44/D47)*(1-(1+D47/$A$133)^-($A$133*C47)))</f>
        <v>21.113909477898808</v>
      </c>
      <c r="G47" s="48">
        <f>F47+E47</f>
        <v>100</v>
      </c>
      <c r="H47" s="49"/>
      <c r="I47" s="49"/>
      <c r="J47" s="49"/>
      <c r="K47" s="49">
        <f>I47</f>
        <v>0</v>
      </c>
      <c r="L47" s="50">
        <f t="shared" ref="L47:L56" si="1">(G47+I47+J47)</f>
        <v>100</v>
      </c>
      <c r="M47" s="51"/>
      <c r="N47" s="22"/>
      <c r="O47" s="40" t="s">
        <v>7</v>
      </c>
      <c r="P47" s="107">
        <v>1</v>
      </c>
      <c r="Q47" s="64" t="s">
        <v>20</v>
      </c>
      <c r="R47" s="64" t="s">
        <v>20</v>
      </c>
      <c r="S47" s="64" t="s">
        <v>20</v>
      </c>
      <c r="T47" s="64" t="s">
        <v>20</v>
      </c>
      <c r="U47" s="64" t="s">
        <v>20</v>
      </c>
      <c r="V47" s="64" t="s">
        <v>20</v>
      </c>
      <c r="W47" s="64" t="s">
        <v>20</v>
      </c>
      <c r="X47" s="64" t="s">
        <v>20</v>
      </c>
      <c r="Y47" s="64" t="s">
        <v>20</v>
      </c>
      <c r="Z47" s="111" t="s">
        <v>20</v>
      </c>
      <c r="AA47" s="23">
        <f>D47</f>
        <v>2.4E-2</v>
      </c>
      <c r="AB47" s="137">
        <f>C47</f>
        <v>10</v>
      </c>
      <c r="AC47" s="65">
        <f>G47*P47</f>
        <v>100</v>
      </c>
      <c r="AD47" s="65"/>
      <c r="AE47" s="50"/>
      <c r="AF47" s="50"/>
      <c r="AG47" s="50"/>
      <c r="AH47" s="19">
        <v>0</v>
      </c>
      <c r="AI47" s="50">
        <f>P47*G47+AH47</f>
        <v>100</v>
      </c>
      <c r="AJ47" s="39"/>
      <c r="AL47" s="40" t="s">
        <v>7</v>
      </c>
      <c r="AM47" s="14" t="s">
        <v>35</v>
      </c>
      <c r="AN47" s="72" t="s">
        <v>22</v>
      </c>
      <c r="AO47" s="64" t="s">
        <v>23</v>
      </c>
      <c r="AP47" s="64" t="s">
        <v>24</v>
      </c>
      <c r="AQ47" s="73" t="s">
        <v>21</v>
      </c>
      <c r="AR47" s="73" t="s">
        <v>25</v>
      </c>
      <c r="AS47" s="90"/>
      <c r="AT47" s="12"/>
      <c r="AU47" s="14"/>
      <c r="AV47" s="12"/>
      <c r="AW47" s="12"/>
      <c r="AX47" s="48"/>
      <c r="AY47" s="48"/>
      <c r="AZ47" s="90"/>
      <c r="BA47" s="12"/>
      <c r="BB47" s="12"/>
      <c r="BC47" s="8" t="s">
        <v>52</v>
      </c>
      <c r="BD47" s="9"/>
      <c r="BE47" s="115">
        <f>K3</f>
        <v>7.0000000000000007E-2</v>
      </c>
      <c r="BF47" s="12"/>
      <c r="BG47" s="90"/>
      <c r="BH47" s="12"/>
      <c r="BI47" s="12"/>
      <c r="BJ47" s="12"/>
      <c r="BK47" s="12"/>
      <c r="BL47" s="12"/>
      <c r="BM47" s="12"/>
      <c r="BN47" s="90"/>
      <c r="BO47" s="12"/>
      <c r="BP47" s="12"/>
      <c r="BQ47" s="12"/>
      <c r="BR47" s="12"/>
      <c r="BS47" s="12"/>
      <c r="BT47" s="12"/>
      <c r="BU47" s="90"/>
      <c r="BV47" s="12"/>
      <c r="BW47" s="12"/>
      <c r="BX47" s="12"/>
      <c r="BY47" s="12"/>
      <c r="BZ47" s="12"/>
      <c r="CA47" s="12"/>
      <c r="CB47" s="90"/>
      <c r="CC47" s="12"/>
      <c r="CD47" s="12"/>
      <c r="CE47" s="12"/>
      <c r="CF47" s="12"/>
      <c r="CG47" s="12"/>
      <c r="CH47" s="12"/>
      <c r="CI47" s="90"/>
      <c r="CJ47" s="12"/>
      <c r="CK47" s="12"/>
      <c r="CL47" s="12"/>
      <c r="CM47" s="12"/>
      <c r="CN47" s="12"/>
      <c r="CO47" s="12"/>
      <c r="CP47" s="90"/>
      <c r="CQ47" s="12"/>
      <c r="CR47" s="12"/>
      <c r="CS47" s="12"/>
      <c r="CT47" s="12"/>
      <c r="CU47" s="12"/>
      <c r="CV47" s="12"/>
      <c r="CW47" s="90"/>
      <c r="CX47" s="12"/>
      <c r="CY47" s="12"/>
      <c r="CZ47" s="12"/>
      <c r="DA47" s="12"/>
      <c r="DB47" s="12"/>
      <c r="DC47" s="39"/>
    </row>
    <row r="48" spans="1:107" ht="15.75" thickBot="1" x14ac:dyDescent="0.3">
      <c r="A48" s="40" t="s">
        <v>8</v>
      </c>
      <c r="B48" s="47">
        <f>AI48-L48</f>
        <v>0</v>
      </c>
      <c r="C48" s="13">
        <v>9</v>
      </c>
      <c r="D48" s="5">
        <f>$I$4+(C48-1)*($I$3-$I$4)/(10-1)</f>
        <v>2.2222222222222223E-2</v>
      </c>
      <c r="E48" s="19">
        <f>$C$133*(1/(1+D48/$A$133)^($A$133*C48))</f>
        <v>82.052560654962619</v>
      </c>
      <c r="F48" s="19">
        <f>$C$133*(($G$44/D48)*(1-(1+D48/$A$133)^-($A$133*C48)))</f>
        <v>19.383234492640366</v>
      </c>
      <c r="G48" s="48">
        <f t="shared" ref="G48:G57" si="2">F48+E48</f>
        <v>101.43579514760299</v>
      </c>
      <c r="H48" s="48">
        <f>$G$44*100</f>
        <v>2.4</v>
      </c>
      <c r="I48" s="48">
        <f>H48</f>
        <v>2.4</v>
      </c>
      <c r="J48" s="49"/>
      <c r="K48" s="49">
        <f>I48</f>
        <v>2.4</v>
      </c>
      <c r="L48" s="50">
        <f t="shared" si="1"/>
        <v>103.83579514760299</v>
      </c>
      <c r="M48" s="51">
        <f>(L48-L47)/L47</f>
        <v>3.8357951476029939E-2</v>
      </c>
      <c r="N48" s="22"/>
      <c r="O48" s="40" t="s">
        <v>8</v>
      </c>
      <c r="P48" s="107">
        <f>(AD48/2)/G48</f>
        <v>0.5</v>
      </c>
      <c r="Q48" s="64">
        <f>(AD48/2)/AQ48</f>
        <v>0.50717897573801496</v>
      </c>
      <c r="R48" s="64" t="str">
        <f>R47</f>
        <v>n/a</v>
      </c>
      <c r="S48" s="64" t="str">
        <f t="shared" ref="S48:Z48" si="3">S47</f>
        <v>n/a</v>
      </c>
      <c r="T48" s="64" t="str">
        <f t="shared" si="3"/>
        <v>n/a</v>
      </c>
      <c r="U48" s="64" t="str">
        <f t="shared" si="3"/>
        <v>n/a</v>
      </c>
      <c r="V48" s="64" t="str">
        <f t="shared" si="3"/>
        <v>n/a</v>
      </c>
      <c r="W48" s="64" t="str">
        <f t="shared" si="3"/>
        <v>n/a</v>
      </c>
      <c r="X48" s="64" t="str">
        <f t="shared" si="3"/>
        <v>n/a</v>
      </c>
      <c r="Y48" s="64" t="str">
        <f t="shared" si="3"/>
        <v>n/a</v>
      </c>
      <c r="Z48" s="111" t="str">
        <f t="shared" si="3"/>
        <v>n/a</v>
      </c>
      <c r="AA48" s="23">
        <f>(P48*D48+AN48*Q48)/SUM(P48:Q48)</f>
        <v>2.3117446938129789E-2</v>
      </c>
      <c r="AB48" s="137">
        <f>(AM48+C48)/2</f>
        <v>9.5</v>
      </c>
      <c r="AC48" s="65">
        <f>G48*P48+Q48*AQ48</f>
        <v>101.43579514760299</v>
      </c>
      <c r="AD48" s="65">
        <f>P47*G48</f>
        <v>101.43579514760299</v>
      </c>
      <c r="AE48" s="50">
        <f>P47*G44*100</f>
        <v>2.4</v>
      </c>
      <c r="AF48" s="50">
        <f>AE48</f>
        <v>2.4</v>
      </c>
      <c r="AG48" s="50"/>
      <c r="AH48" s="19">
        <f>AF48</f>
        <v>2.4</v>
      </c>
      <c r="AI48" s="50">
        <f>AC48+AH48</f>
        <v>103.83579514760299</v>
      </c>
      <c r="AJ48" s="66">
        <f>(AI48-AI47)/AI47</f>
        <v>3.8357951476029939E-2</v>
      </c>
      <c r="AL48" s="40" t="s">
        <v>8</v>
      </c>
      <c r="AM48" s="13">
        <v>10</v>
      </c>
      <c r="AN48" s="5">
        <f>$I$4+(AM48-1)*($I$3-$I$4)/(10-1)</f>
        <v>2.4E-2</v>
      </c>
      <c r="AO48" s="19">
        <f>$C$133*(1/(1+AN48/$A$133)^($A$133*AM48))</f>
        <v>78.886090522101199</v>
      </c>
      <c r="AP48" s="19">
        <f>$C$133*(($AQ$45/AN48)*(1-(1+AN48/$A$133)^-($A$133*AM48)))</f>
        <v>21.113909477898808</v>
      </c>
      <c r="AQ48" s="48">
        <f>AO48+AP48</f>
        <v>100</v>
      </c>
      <c r="AR48" s="48"/>
      <c r="AS48" s="92"/>
      <c r="AT48" s="14" t="s">
        <v>35</v>
      </c>
      <c r="AU48" s="72" t="s">
        <v>22</v>
      </c>
      <c r="AV48" s="64" t="s">
        <v>23</v>
      </c>
      <c r="AW48" s="64" t="s">
        <v>24</v>
      </c>
      <c r="AX48" s="73" t="s">
        <v>21</v>
      </c>
      <c r="AY48" s="73" t="s">
        <v>25</v>
      </c>
      <c r="AZ48" s="90"/>
      <c r="BA48" s="14"/>
      <c r="BB48" s="14"/>
      <c r="BC48" s="12"/>
      <c r="BD48" s="12"/>
      <c r="BE48" s="48"/>
      <c r="BF48" s="48"/>
      <c r="BG48" s="90"/>
      <c r="BH48" s="12"/>
      <c r="BI48" s="12"/>
      <c r="BJ48" s="8" t="s">
        <v>53</v>
      </c>
      <c r="BK48" s="9"/>
      <c r="BL48" s="115">
        <f>L3</f>
        <v>7.0000000000000007E-2</v>
      </c>
      <c r="BM48" s="14"/>
      <c r="BN48" s="90"/>
      <c r="BO48" s="12"/>
      <c r="BP48" s="12"/>
      <c r="BQ48" s="12"/>
      <c r="BR48" s="12"/>
      <c r="BS48" s="12"/>
      <c r="BT48" s="12"/>
      <c r="BU48" s="90"/>
      <c r="BV48" s="12"/>
      <c r="BW48" s="12"/>
      <c r="BX48" s="12"/>
      <c r="BY48" s="12"/>
      <c r="BZ48" s="12"/>
      <c r="CA48" s="12"/>
      <c r="CB48" s="90"/>
      <c r="CC48" s="12"/>
      <c r="CD48" s="12"/>
      <c r="CE48" s="12"/>
      <c r="CF48" s="12"/>
      <c r="CG48" s="12"/>
      <c r="CH48" s="12"/>
      <c r="CI48" s="90"/>
      <c r="CJ48" s="12"/>
      <c r="CK48" s="12"/>
      <c r="CL48" s="12"/>
      <c r="CM48" s="12"/>
      <c r="CN48" s="12"/>
      <c r="CO48" s="12"/>
      <c r="CP48" s="90"/>
      <c r="CQ48" s="12"/>
      <c r="CR48" s="12"/>
      <c r="CS48" s="12"/>
      <c r="CT48" s="12"/>
      <c r="CU48" s="12"/>
      <c r="CV48" s="12"/>
      <c r="CW48" s="90"/>
      <c r="CX48" s="12"/>
      <c r="CY48" s="12"/>
      <c r="CZ48" s="12"/>
      <c r="DA48" s="12"/>
      <c r="DB48" s="12"/>
      <c r="DC48" s="39"/>
    </row>
    <row r="49" spans="1:108" ht="15.75" thickBot="1" x14ac:dyDescent="0.3">
      <c r="A49" s="40" t="s">
        <v>9</v>
      </c>
      <c r="B49" s="47">
        <f>AI49-L49</f>
        <v>-1.1419988546256263</v>
      </c>
      <c r="C49" s="13">
        <v>8</v>
      </c>
      <c r="D49" s="5">
        <f>$J$4+(C49-1)*($J$3-$J$4)/(10-1)</f>
        <v>6.6444444444444445E-2</v>
      </c>
      <c r="E49" s="19">
        <f>$C$133*(1/(1+D49/$A$133)^($A$133*C49))</f>
        <v>59.771493931163789</v>
      </c>
      <c r="F49" s="19">
        <f>$C$133*(($G$44/D49)*(1-(1+D49/$A$133)^-($A$133*C49)))</f>
        <v>14.530697844261908</v>
      </c>
      <c r="G49" s="48">
        <f t="shared" si="2"/>
        <v>74.302191775425698</v>
      </c>
      <c r="H49" s="48">
        <f t="shared" ref="H49:H57" si="4">$G$44*100</f>
        <v>2.4</v>
      </c>
      <c r="I49" s="48">
        <f>H49+I48</f>
        <v>4.8</v>
      </c>
      <c r="J49" s="49">
        <f>K48*D47</f>
        <v>5.7599999999999998E-2</v>
      </c>
      <c r="K49" s="49">
        <f>J49+I49</f>
        <v>4.8575999999999997</v>
      </c>
      <c r="L49" s="50">
        <f t="shared" si="1"/>
        <v>79.159791775425688</v>
      </c>
      <c r="M49" s="51">
        <f>(L49-L48)/L48</f>
        <v>-0.2376444783525784</v>
      </c>
      <c r="N49" s="22"/>
      <c r="O49" s="40" t="s">
        <v>9</v>
      </c>
      <c r="P49" s="107">
        <v>0</v>
      </c>
      <c r="Q49" s="64">
        <f>(AD49/2)/AQ49</f>
        <v>0.51533108824941698</v>
      </c>
      <c r="R49" s="64">
        <f>(AD49/2)/AX49</f>
        <v>0.36572548356181078</v>
      </c>
      <c r="S49" s="64" t="str">
        <f>S48</f>
        <v>n/a</v>
      </c>
      <c r="T49" s="64" t="str">
        <f t="shared" ref="T49:U49" si="5">T48</f>
        <v>n/a</v>
      </c>
      <c r="U49" s="64" t="str">
        <f t="shared" si="5"/>
        <v>n/a</v>
      </c>
      <c r="V49" s="64" t="str">
        <f t="shared" ref="V49:W49" si="6">V48</f>
        <v>n/a</v>
      </c>
      <c r="W49" s="64" t="str">
        <f t="shared" si="6"/>
        <v>n/a</v>
      </c>
      <c r="X49" s="64" t="str">
        <f t="shared" ref="X49:Y49" si="7">X48</f>
        <v>n/a</v>
      </c>
      <c r="Y49" s="64" t="str">
        <f t="shared" si="7"/>
        <v>n/a</v>
      </c>
      <c r="Z49" s="111" t="str">
        <f t="shared" ref="Z49" si="8">Z48</f>
        <v>n/a</v>
      </c>
      <c r="AA49" s="23">
        <f>(Q49*AN49+AU49*R49)/SUM(Q49:R49)</f>
        <v>6.8960175559437134E-2</v>
      </c>
      <c r="AB49" s="137">
        <f>(AM49+AT49)/2</f>
        <v>9.5</v>
      </c>
      <c r="AC49" s="65">
        <f>Q49*AQ49+R49*AX49</f>
        <v>73.145096712362161</v>
      </c>
      <c r="AD49" s="65">
        <f>P48*G49+Q48*AQ49</f>
        <v>73.145096712362161</v>
      </c>
      <c r="AE49" s="50">
        <f>P48*G44*100+Q48*AQ45*100</f>
        <v>2.4172295417712357</v>
      </c>
      <c r="AF49" s="50">
        <f>AE49+AF48</f>
        <v>4.8172295417712352</v>
      </c>
      <c r="AG49" s="50">
        <f>AH48*(AVERAGE(D48,AN48))</f>
        <v>5.5466666666666664E-2</v>
      </c>
      <c r="AH49" s="19">
        <f>AG49+AF49</f>
        <v>4.872696208437902</v>
      </c>
      <c r="AI49" s="50">
        <f>AC49+AH49</f>
        <v>78.017792920800062</v>
      </c>
      <c r="AJ49" s="66">
        <f>(AI49-AI48)/AI48</f>
        <v>-0.24864260142759576</v>
      </c>
      <c r="AL49" s="40" t="s">
        <v>9</v>
      </c>
      <c r="AM49" s="13">
        <v>9</v>
      </c>
      <c r="AN49" s="5">
        <f>$J$4+(AM49-1)*($J$3-$J$4)/(10-1)</f>
        <v>6.8222222222222226E-2</v>
      </c>
      <c r="AO49" s="19">
        <f>$C$133*(1/(1+AN49/$A$133)^($A$133*AM49))</f>
        <v>55.21353137060261</v>
      </c>
      <c r="AP49" s="19">
        <f>$C$133*(($AQ$45/AN49)*(1-(1+AN49/$A$133)^-($A$133*AM49)))</f>
        <v>15.755500364739147</v>
      </c>
      <c r="AQ49" s="48">
        <f t="shared" ref="AQ49:AQ50" si="9">AO49+AP49</f>
        <v>70.969031735341758</v>
      </c>
      <c r="AR49" s="48">
        <f>AQ45*100</f>
        <v>2.4</v>
      </c>
      <c r="AS49" s="92"/>
      <c r="AT49" s="13">
        <v>10</v>
      </c>
      <c r="AU49" s="5">
        <f>$J$4+(AT49-1)*($J$3-$J$4)/(10-1)</f>
        <v>7.0000000000000007E-2</v>
      </c>
      <c r="AV49" s="19">
        <f>$C$133*(1/(1+AU49/$A$133)^($A$133*AT49))</f>
        <v>50.834929213471781</v>
      </c>
      <c r="AW49" s="19">
        <f>$C$133*(($AX$46/AU49)*(1-(1+AU49/$A$133)^-($A$133*AT49)))</f>
        <v>49.165070786528219</v>
      </c>
      <c r="AX49" s="48">
        <f>AV49+AW49</f>
        <v>100</v>
      </c>
      <c r="AY49" s="48"/>
      <c r="AZ49" s="92"/>
      <c r="BA49" s="14" t="s">
        <v>35</v>
      </c>
      <c r="BB49" s="72" t="s">
        <v>22</v>
      </c>
      <c r="BC49" s="64" t="s">
        <v>23</v>
      </c>
      <c r="BD49" s="64" t="s">
        <v>24</v>
      </c>
      <c r="BE49" s="73" t="s">
        <v>21</v>
      </c>
      <c r="BF49" s="73" t="s">
        <v>25</v>
      </c>
      <c r="BG49" s="92"/>
      <c r="BH49" s="14"/>
      <c r="BI49" s="14"/>
      <c r="BJ49" s="12"/>
      <c r="BK49" s="12"/>
      <c r="BL49" s="12"/>
      <c r="BM49" s="12"/>
      <c r="BN49" s="92"/>
      <c r="BO49" s="12"/>
      <c r="BP49" s="12"/>
      <c r="BQ49" s="8" t="s">
        <v>54</v>
      </c>
      <c r="BR49" s="9"/>
      <c r="BS49" s="115">
        <f>M3</f>
        <v>7.0000000000000007E-2</v>
      </c>
      <c r="BT49" s="12"/>
      <c r="BU49" s="90"/>
      <c r="BV49" s="12"/>
      <c r="BW49" s="12"/>
      <c r="BX49" s="12"/>
      <c r="BY49" s="12"/>
      <c r="BZ49" s="12"/>
      <c r="CA49" s="12"/>
      <c r="CB49" s="90"/>
      <c r="CC49" s="12"/>
      <c r="CD49" s="12"/>
      <c r="CE49" s="12"/>
      <c r="CF49" s="12"/>
      <c r="CG49" s="12"/>
      <c r="CH49" s="12"/>
      <c r="CI49" s="90"/>
      <c r="CJ49" s="12"/>
      <c r="CK49" s="12"/>
      <c r="CL49" s="12"/>
      <c r="CM49" s="12"/>
      <c r="CN49" s="12"/>
      <c r="CO49" s="12"/>
      <c r="CP49" s="90"/>
      <c r="CQ49" s="12"/>
      <c r="CR49" s="12"/>
      <c r="CS49" s="12"/>
      <c r="CT49" s="12"/>
      <c r="CU49" s="12"/>
      <c r="CV49" s="12"/>
      <c r="CW49" s="90"/>
      <c r="CX49" s="12"/>
      <c r="CY49" s="12"/>
      <c r="CZ49" s="12"/>
      <c r="DA49" s="12"/>
      <c r="DB49" s="12"/>
      <c r="DC49" s="39"/>
      <c r="DD49" s="2"/>
    </row>
    <row r="50" spans="1:108" ht="15.75" thickBot="1" x14ac:dyDescent="0.3">
      <c r="A50" s="40" t="s">
        <v>10</v>
      </c>
      <c r="B50" s="47">
        <f>AI50-L50</f>
        <v>-0.95451930833445431</v>
      </c>
      <c r="C50" s="13">
        <v>7</v>
      </c>
      <c r="D50" s="5">
        <f>$K$4+(C50-1)*($K$3-$K$4)/(10-1)</f>
        <v>6.4666666666666678E-2</v>
      </c>
      <c r="E50" s="19">
        <f>$C$133*(1/(1+D50/$A$133)^($A$133*C50))</f>
        <v>64.491785436351392</v>
      </c>
      <c r="F50" s="19">
        <f>$C$133*(($G$44/D50)*(1-(1+D50/$A$133)^-($A$133*C50)))</f>
        <v>13.178306435993298</v>
      </c>
      <c r="G50" s="48">
        <f t="shared" si="2"/>
        <v>77.670091872344685</v>
      </c>
      <c r="H50" s="48">
        <f t="shared" si="4"/>
        <v>2.4</v>
      </c>
      <c r="I50" s="48">
        <f t="shared" ref="I50:I57" si="10">H50+I49</f>
        <v>7.1999999999999993</v>
      </c>
      <c r="J50" s="49">
        <f>K49*D49+J49</f>
        <v>0.38036053333333331</v>
      </c>
      <c r="K50" s="49">
        <f t="shared" ref="K50:K57" si="11">J50+I50</f>
        <v>7.5803605333333328</v>
      </c>
      <c r="L50" s="50">
        <f t="shared" si="1"/>
        <v>85.250452405678018</v>
      </c>
      <c r="M50" s="51">
        <f>(L50-L49)/L49</f>
        <v>7.6941342235100602E-2</v>
      </c>
      <c r="N50" s="22"/>
      <c r="O50" s="40" t="s">
        <v>10</v>
      </c>
      <c r="P50" s="107">
        <v>0</v>
      </c>
      <c r="Q50" s="64">
        <v>0</v>
      </c>
      <c r="R50" s="64">
        <f>(AD50/2)/AX50</f>
        <v>0.37210528777311852</v>
      </c>
      <c r="S50" s="64">
        <f>(AD50/2)/BE50</f>
        <v>0.37644803221551171</v>
      </c>
      <c r="T50" s="64" t="str">
        <f>T49</f>
        <v>n/a</v>
      </c>
      <c r="U50" s="64" t="str">
        <f>U49</f>
        <v>n/a</v>
      </c>
      <c r="V50" s="64" t="str">
        <f>V49</f>
        <v>n/a</v>
      </c>
      <c r="W50" s="64" t="str">
        <f>W49</f>
        <v>n/a</v>
      </c>
      <c r="X50" s="64" t="str">
        <f>X49</f>
        <v>n/a</v>
      </c>
      <c r="Y50" s="64" t="str">
        <f>Y49</f>
        <v>n/a</v>
      </c>
      <c r="Z50" s="111" t="str">
        <f>Z49</f>
        <v>n/a</v>
      </c>
      <c r="AA50" s="23">
        <f>(R50*AU50+BB50*S50)/SUM(R50:S50)</f>
        <v>6.9116268014673021E-2</v>
      </c>
      <c r="AB50" s="137">
        <f>(AT50+BA50)/2</f>
        <v>9.5</v>
      </c>
      <c r="AC50" s="65">
        <f>R50*AX50+S50*BE50</f>
        <v>75.289606443102343</v>
      </c>
      <c r="AD50" s="65">
        <f>Q49*AQ50+R49*AX50</f>
        <v>75.289606443102343</v>
      </c>
      <c r="AE50" s="50">
        <f>Q49*AQ45*100+R49*AX46*100</f>
        <v>3.7968729967312767</v>
      </c>
      <c r="AF50" s="50">
        <f>AE50+AF49</f>
        <v>8.614102538502511</v>
      </c>
      <c r="AG50" s="50">
        <f>AH49*(AVERAGE(AU49,AN49))+AG49</f>
        <v>0.39222411573870841</v>
      </c>
      <c r="AH50" s="19">
        <f>AG50+AF50</f>
        <v>9.006326654241219</v>
      </c>
      <c r="AI50" s="50">
        <f>AC50+AH50</f>
        <v>84.295933097343564</v>
      </c>
      <c r="AJ50" s="66">
        <f>(AI50-AI49)/AI49</f>
        <v>8.0470620117602795E-2</v>
      </c>
      <c r="AL50" s="40" t="s">
        <v>10</v>
      </c>
      <c r="AM50" s="13">
        <v>8</v>
      </c>
      <c r="AN50" s="5">
        <f>$K$4+(AM50-1)*($K$3-$K$4)/(10-1)</f>
        <v>6.6444444444444445E-2</v>
      </c>
      <c r="AO50" s="19">
        <f>$C$133*(1/(1+AN50/$A$133)^($A$133*AM50))</f>
        <v>59.771493931163789</v>
      </c>
      <c r="AP50" s="19">
        <f>$C$133*(($AQ$45/AN50)*(1-(1+AN50/$A$133)^-($A$133*AM50)))</f>
        <v>14.530697844261908</v>
      </c>
      <c r="AQ50" s="48">
        <f t="shared" si="9"/>
        <v>74.302191775425698</v>
      </c>
      <c r="AR50" s="48">
        <f>AR49*(1+AN49)+AQ45*100</f>
        <v>4.9637333333333329</v>
      </c>
      <c r="AS50" s="92"/>
      <c r="AT50" s="13">
        <v>9</v>
      </c>
      <c r="AU50" s="5">
        <f>$K$4+(AT50-1)*($K$3-$K$4)/(10-1)</f>
        <v>6.8222222222222226E-2</v>
      </c>
      <c r="AV50" s="19">
        <f>$C$133*(1/(1+AU50/$A$133)^($A$133*AT50))</f>
        <v>55.21353137060261</v>
      </c>
      <c r="AW50" s="19">
        <f>$C$133*(($AX$46/AU50)*(1-(1+AU50/$A$133)^-($A$133*AT50)))</f>
        <v>45.953542730489183</v>
      </c>
      <c r="AX50" s="48">
        <f t="shared" ref="AX50:AX51" si="12">AV50+AW50</f>
        <v>101.1670741010918</v>
      </c>
      <c r="AY50" s="48">
        <f>AX46*100</f>
        <v>7.0000000000000009</v>
      </c>
      <c r="AZ50" s="92"/>
      <c r="BA50" s="13">
        <v>10</v>
      </c>
      <c r="BB50" s="5">
        <f>$K$4+(BA50-1)*($K$3-$K$4)/(10-1)</f>
        <v>7.0000000000000007E-2</v>
      </c>
      <c r="BC50" s="19">
        <f>$C$133*(1/(1+BB50/$A$133)^($A$133*BA50))</f>
        <v>50.834929213471781</v>
      </c>
      <c r="BD50" s="19">
        <f>$C$133*(($BE$47/BB50)*(1-(1+BB50/$A$133)^-($A$133*BA50)))</f>
        <v>49.165070786528219</v>
      </c>
      <c r="BE50" s="48">
        <f>BC50+BD50</f>
        <v>100</v>
      </c>
      <c r="BF50" s="48"/>
      <c r="BG50" s="92"/>
      <c r="BH50" s="14" t="s">
        <v>35</v>
      </c>
      <c r="BI50" s="72" t="s">
        <v>22</v>
      </c>
      <c r="BJ50" s="64" t="s">
        <v>23</v>
      </c>
      <c r="BK50" s="64" t="s">
        <v>24</v>
      </c>
      <c r="BL50" s="73" t="s">
        <v>21</v>
      </c>
      <c r="BM50" s="73" t="s">
        <v>25</v>
      </c>
      <c r="BN50" s="92"/>
      <c r="BO50" s="14"/>
      <c r="BP50" s="14"/>
      <c r="BQ50" s="12"/>
      <c r="BR50" s="12"/>
      <c r="BS50" s="48"/>
      <c r="BT50" s="12"/>
      <c r="BU50" s="90"/>
      <c r="BV50" s="12"/>
      <c r="BW50" s="12"/>
      <c r="BX50" s="8" t="s">
        <v>55</v>
      </c>
      <c r="BY50" s="9"/>
      <c r="BZ50" s="115">
        <f>N3</f>
        <v>7.0000000000000007E-2</v>
      </c>
      <c r="CA50" s="12"/>
      <c r="CB50" s="90"/>
      <c r="CC50" s="12"/>
      <c r="CD50" s="12"/>
      <c r="CE50" s="12"/>
      <c r="CF50" s="12"/>
      <c r="CG50" s="12"/>
      <c r="CH50" s="12"/>
      <c r="CI50" s="90"/>
      <c r="CJ50" s="12"/>
      <c r="CK50" s="12"/>
      <c r="CL50" s="12"/>
      <c r="CM50" s="12"/>
      <c r="CN50" s="12"/>
      <c r="CO50" s="12"/>
      <c r="CP50" s="90"/>
      <c r="CQ50" s="12"/>
      <c r="CR50" s="12"/>
      <c r="CS50" s="12"/>
      <c r="CT50" s="12"/>
      <c r="CU50" s="12"/>
      <c r="CV50" s="12"/>
      <c r="CW50" s="90"/>
      <c r="CX50" s="12"/>
      <c r="CY50" s="12"/>
      <c r="CZ50" s="12"/>
      <c r="DA50" s="12"/>
      <c r="DB50" s="12"/>
      <c r="DC50" s="74"/>
    </row>
    <row r="51" spans="1:108" ht="15.75" thickBot="1" x14ac:dyDescent="0.3">
      <c r="A51" s="40" t="s">
        <v>11</v>
      </c>
      <c r="B51" s="47">
        <f>AI51-L51</f>
        <v>-0.55563575441107105</v>
      </c>
      <c r="C51" s="13">
        <v>6</v>
      </c>
      <c r="D51" s="5">
        <f>$L$4+(C51-1)*($L$3-$L$4)/(10-1)</f>
        <v>6.2888888888888897E-2</v>
      </c>
      <c r="E51" s="19">
        <f>$C$133*(1/(1+D51/$A$133)^($A$133*C51))</f>
        <v>69.354204935588015</v>
      </c>
      <c r="F51" s="19">
        <f>$C$133*(($G$44/D51)*(1-(1+D51/$A$133)^-($A$133*C51)))</f>
        <v>11.695215077584784</v>
      </c>
      <c r="G51" s="48">
        <f t="shared" si="2"/>
        <v>81.049420013172806</v>
      </c>
      <c r="H51" s="48">
        <f t="shared" si="4"/>
        <v>2.4</v>
      </c>
      <c r="I51" s="48">
        <f t="shared" si="10"/>
        <v>9.6</v>
      </c>
      <c r="J51" s="49">
        <f>K50*D50+J50</f>
        <v>0.87055718115555558</v>
      </c>
      <c r="K51" s="49">
        <f t="shared" si="11"/>
        <v>10.470557181155556</v>
      </c>
      <c r="L51" s="50">
        <f t="shared" si="1"/>
        <v>91.519977194328362</v>
      </c>
      <c r="M51" s="51">
        <f>(L51-L50)/L50</f>
        <v>7.3542422494320608E-2</v>
      </c>
      <c r="N51" s="22"/>
      <c r="O51" s="40" t="s">
        <v>11</v>
      </c>
      <c r="P51" s="107">
        <v>0</v>
      </c>
      <c r="Q51" s="64">
        <v>0</v>
      </c>
      <c r="R51" s="64">
        <v>0</v>
      </c>
      <c r="S51" s="64">
        <f>(AD51/2)/BE51</f>
        <v>0.37608928092361527</v>
      </c>
      <c r="T51" s="64">
        <f>(AD51/2)/BL51</f>
        <v>0.38047852151825717</v>
      </c>
      <c r="U51" s="64" t="str">
        <f>U50</f>
        <v>n/a</v>
      </c>
      <c r="V51" s="64" t="str">
        <f>V50</f>
        <v>n/a</v>
      </c>
      <c r="W51" s="64" t="str">
        <f>W50</f>
        <v>n/a</v>
      </c>
      <c r="X51" s="64" t="str">
        <f>X50</f>
        <v>n/a</v>
      </c>
      <c r="Y51" s="64" t="str">
        <f>Y50</f>
        <v>n/a</v>
      </c>
      <c r="Z51" s="111" t="str">
        <f>Z50</f>
        <v>n/a</v>
      </c>
      <c r="AA51" s="23">
        <f>(S51*BB51+BI51*T51)/SUM(S51:T51)</f>
        <v>6.9116268014673021E-2</v>
      </c>
      <c r="AB51" s="137">
        <f>(BA51+BH51)/2</f>
        <v>9.5</v>
      </c>
      <c r="AC51" s="65">
        <f>(S51*BE51+T51*BL51)</f>
        <v>76.095704303651431</v>
      </c>
      <c r="AD51" s="65">
        <f>(R50*AX51+S50*BE51)</f>
        <v>76.095704303651431</v>
      </c>
      <c r="AE51" s="50">
        <f>R50*AX46*100+S50*BE47*100</f>
        <v>5.2398732399204118</v>
      </c>
      <c r="AF51" s="50">
        <f>AE51+AF50</f>
        <v>13.853975778422923</v>
      </c>
      <c r="AG51" s="50">
        <f>AH50*(AVERAGE(BB50,AU50))+AG50</f>
        <v>1.0146613578429351</v>
      </c>
      <c r="AH51" s="19">
        <f>AG51+AF51</f>
        <v>14.868637136265857</v>
      </c>
      <c r="AI51" s="50">
        <f>AC51+AH51</f>
        <v>90.964341439917291</v>
      </c>
      <c r="AJ51" s="66">
        <f>(AI51-AI50)/AI50</f>
        <v>7.9107118191255543E-2</v>
      </c>
      <c r="AL51" s="40" t="s">
        <v>11</v>
      </c>
      <c r="AM51" s="14"/>
      <c r="AN51" s="14"/>
      <c r="AO51" s="12"/>
      <c r="AP51" s="12"/>
      <c r="AQ51" s="12"/>
      <c r="AR51" s="12"/>
      <c r="AS51" s="90"/>
      <c r="AT51" s="13">
        <v>8</v>
      </c>
      <c r="AU51" s="5">
        <f>$L$4+(AT51-1)*($L$3-$L$4)/(10-1)</f>
        <v>6.6444444444444445E-2</v>
      </c>
      <c r="AV51" s="19">
        <f>$C$133*(1/(1+AU51/$A$133)^($A$133*AT51))</f>
        <v>59.771493931163789</v>
      </c>
      <c r="AW51" s="19">
        <f>$C$133*(($AX$46/AU51)*(1-(1+AU51/$A$133)^-($A$133*AT51)))</f>
        <v>42.381202045763914</v>
      </c>
      <c r="AX51" s="48">
        <f t="shared" si="12"/>
        <v>102.1526959769277</v>
      </c>
      <c r="AY51" s="48">
        <f>AY50*(1+AU50)+AX46*100</f>
        <v>14.477555555555558</v>
      </c>
      <c r="AZ51" s="92"/>
      <c r="BA51" s="13">
        <v>9</v>
      </c>
      <c r="BB51" s="5">
        <f>$L$4+(BA51-1)*($L$3-$L$4)/(10-1)</f>
        <v>6.8222222222222226E-2</v>
      </c>
      <c r="BC51" s="19">
        <f>$C$133*(1/(1+BB51/$A$133)^($A$133*BA51))</f>
        <v>55.21353137060261</v>
      </c>
      <c r="BD51" s="19">
        <f>$C$133*(($BE$47/BB51)*(1-(1+BB51/$A$133)^-($A$133*BA51)))</f>
        <v>45.953542730489183</v>
      </c>
      <c r="BE51" s="48">
        <f t="shared" ref="BE51:BE52" si="13">BC51+BD51</f>
        <v>101.1670741010918</v>
      </c>
      <c r="BF51" s="48">
        <f>BE47*100</f>
        <v>7.0000000000000009</v>
      </c>
      <c r="BG51" s="92"/>
      <c r="BH51" s="13">
        <v>10</v>
      </c>
      <c r="BI51" s="5">
        <f>$L$4+(BH51-1)*($L$3-$L$4)/(10-1)</f>
        <v>7.0000000000000007E-2</v>
      </c>
      <c r="BJ51" s="19">
        <f>$C$133*(1/(1+BI51/$A$133)^($A$133*BH51))</f>
        <v>50.834929213471781</v>
      </c>
      <c r="BK51" s="19">
        <f>$C$133*(($BL$48/BI51)*(1-(1+BI51/$A$133)^-($A$133*BH51)))</f>
        <v>49.165070786528219</v>
      </c>
      <c r="BL51" s="48">
        <f>BJ51+BK51</f>
        <v>100</v>
      </c>
      <c r="BM51" s="48"/>
      <c r="BN51" s="92"/>
      <c r="BO51" s="14" t="s">
        <v>35</v>
      </c>
      <c r="BP51" s="72" t="s">
        <v>22</v>
      </c>
      <c r="BQ51" s="64" t="s">
        <v>23</v>
      </c>
      <c r="BR51" s="64" t="s">
        <v>24</v>
      </c>
      <c r="BS51" s="73" t="s">
        <v>21</v>
      </c>
      <c r="BT51" s="73" t="s">
        <v>25</v>
      </c>
      <c r="BU51" s="95"/>
      <c r="BV51" s="14"/>
      <c r="BW51" s="14"/>
      <c r="BX51" s="12"/>
      <c r="BY51" s="12"/>
      <c r="BZ51" s="48"/>
      <c r="CA51" s="12"/>
      <c r="CB51" s="90"/>
      <c r="CC51" s="12"/>
      <c r="CD51" s="12"/>
      <c r="CE51" s="8" t="s">
        <v>56</v>
      </c>
      <c r="CF51" s="9"/>
      <c r="CG51" s="115">
        <f>O3</f>
        <v>7.0000000000000007E-2</v>
      </c>
      <c r="CH51" s="12"/>
      <c r="CI51" s="90"/>
      <c r="CJ51" s="12"/>
      <c r="CK51" s="12"/>
      <c r="CL51" s="12"/>
      <c r="CM51" s="12"/>
      <c r="CN51" s="12"/>
      <c r="CO51" s="12"/>
      <c r="CP51" s="90"/>
      <c r="CQ51" s="12"/>
      <c r="CR51" s="12"/>
      <c r="CS51" s="12"/>
      <c r="CT51" s="12"/>
      <c r="CU51" s="12"/>
      <c r="CV51" s="12"/>
      <c r="CW51" s="90"/>
      <c r="CX51" s="12"/>
      <c r="CY51" s="12"/>
      <c r="CZ51" s="12"/>
      <c r="DA51" s="12"/>
      <c r="DB51" s="12"/>
      <c r="DC51" s="39"/>
      <c r="DD51" s="2"/>
    </row>
    <row r="52" spans="1:108" s="3" customFormat="1" ht="15.75" thickBot="1" x14ac:dyDescent="0.3">
      <c r="A52" s="40" t="s">
        <v>12</v>
      </c>
      <c r="B52" s="47">
        <f>AI52-L52</f>
        <v>0.15900460718611953</v>
      </c>
      <c r="C52" s="13">
        <v>5</v>
      </c>
      <c r="D52" s="5">
        <f>$M$4+(C52-1)*($M$3-$M$4)/(10-1)</f>
        <v>6.1111111111111116E-2</v>
      </c>
      <c r="E52" s="19">
        <f>$C$133*(1/(1+D52/$A$133)^($A$133*C52))</f>
        <v>74.335401123199688</v>
      </c>
      <c r="F52" s="19">
        <f>$C$133*(($G$44/D52)*(1-(1+D52/$A$133)^-($A$133*C52)))</f>
        <v>10.079187922525215</v>
      </c>
      <c r="G52" s="48">
        <f t="shared" si="2"/>
        <v>84.41458904572491</v>
      </c>
      <c r="H52" s="48">
        <f t="shared" si="4"/>
        <v>2.4</v>
      </c>
      <c r="I52" s="48">
        <f t="shared" si="10"/>
        <v>12</v>
      </c>
      <c r="J52" s="49">
        <f>K51*D51+J51</f>
        <v>1.5290388883260051</v>
      </c>
      <c r="K52" s="49">
        <f t="shared" si="11"/>
        <v>13.529038888326005</v>
      </c>
      <c r="L52" s="50">
        <f t="shared" si="1"/>
        <v>97.943627934050909</v>
      </c>
      <c r="M52" s="51">
        <f>(L52-L51)/L51</f>
        <v>7.018850896436446E-2</v>
      </c>
      <c r="N52" s="22"/>
      <c r="O52" s="40" t="s">
        <v>12</v>
      </c>
      <c r="P52" s="107">
        <v>0</v>
      </c>
      <c r="Q52" s="64">
        <v>0</v>
      </c>
      <c r="R52" s="64">
        <v>0</v>
      </c>
      <c r="S52" s="64">
        <v>0</v>
      </c>
      <c r="T52" s="64">
        <f>(AD52/2)/BL52</f>
        <v>0.38011592920948567</v>
      </c>
      <c r="U52" s="64">
        <f>(AD52/2)/BS52</f>
        <v>0.384552163773414</v>
      </c>
      <c r="V52" s="64" t="str">
        <f>V51</f>
        <v>n/a</v>
      </c>
      <c r="W52" s="64" t="str">
        <f>W51</f>
        <v>n/a</v>
      </c>
      <c r="X52" s="64" t="str">
        <f>X51</f>
        <v>n/a</v>
      </c>
      <c r="Y52" s="64" t="str">
        <f>Y51</f>
        <v>n/a</v>
      </c>
      <c r="Z52" s="111" t="str">
        <f>Z51</f>
        <v>n/a</v>
      </c>
      <c r="AA52" s="23">
        <f>(T52*BI52+BP52*U52)/SUM(T52:U52)</f>
        <v>6.9116268014673021E-2</v>
      </c>
      <c r="AB52" s="137">
        <f>(BH52+BO52)/2</f>
        <v>9.5</v>
      </c>
      <c r="AC52" s="65">
        <f>(T52*BL52+U52*BS52)</f>
        <v>76.910432754682802</v>
      </c>
      <c r="AD52" s="65">
        <f>(S51*BE52+T51*BL52)</f>
        <v>76.910432754682802</v>
      </c>
      <c r="AE52" s="50">
        <f>S51*BE47*100+T51*BL48*100</f>
        <v>5.2959746170931083</v>
      </c>
      <c r="AF52" s="50">
        <f>AE52+AF51</f>
        <v>19.149950395516029</v>
      </c>
      <c r="AG52" s="50">
        <f>AH51*(AVERAGE(BI51,BB51))+AG51</f>
        <v>2.0422493910381978</v>
      </c>
      <c r="AH52" s="19">
        <f>AG52+AF52</f>
        <v>21.192199786554227</v>
      </c>
      <c r="AI52" s="50">
        <f>AC52+AH52</f>
        <v>98.102632541237028</v>
      </c>
      <c r="AJ52" s="66">
        <f>(AI52-AI51)/AI51</f>
        <v>7.8473509380976927E-2</v>
      </c>
      <c r="AL52" s="40" t="s">
        <v>12</v>
      </c>
      <c r="AM52" s="14"/>
      <c r="AN52" s="14"/>
      <c r="AO52" s="12"/>
      <c r="AP52" s="12"/>
      <c r="AQ52" s="12"/>
      <c r="AR52" s="12"/>
      <c r="AS52" s="90"/>
      <c r="AT52" s="13"/>
      <c r="AU52" s="12"/>
      <c r="AV52" s="12"/>
      <c r="AW52" s="12"/>
      <c r="AX52" s="12"/>
      <c r="AY52" s="12"/>
      <c r="AZ52" s="90"/>
      <c r="BA52" s="13">
        <v>8</v>
      </c>
      <c r="BB52" s="5">
        <f>$M$4+(BA52-1)*($M$3-$M$4)/(10-1)</f>
        <v>6.6444444444444445E-2</v>
      </c>
      <c r="BC52" s="19">
        <f>$C$133*(1/(1+BB52/$A$133)^($A$133*BA52))</f>
        <v>59.771493931163789</v>
      </c>
      <c r="BD52" s="19">
        <f>$C$133*(($BE$47/BB52)*(1-(1+BB52/$A$133)^-($A$133*BA52)))</f>
        <v>42.381202045763914</v>
      </c>
      <c r="BE52" s="48">
        <f t="shared" si="13"/>
        <v>102.1526959769277</v>
      </c>
      <c r="BF52" s="48">
        <f>BF51*(1+BB51)+BE47*100</f>
        <v>14.477555555555558</v>
      </c>
      <c r="BG52" s="92"/>
      <c r="BH52" s="13">
        <v>9</v>
      </c>
      <c r="BI52" s="5">
        <f>$M$4+(BH52-1)*($M$3-$M$4)/(10-1)</f>
        <v>6.8222222222222226E-2</v>
      </c>
      <c r="BJ52" s="19">
        <f>$C$133*(1/(1+BI52/$A$133)^($A$133*BH52))</f>
        <v>55.21353137060261</v>
      </c>
      <c r="BK52" s="19">
        <f>$C$133*(($BL$48/BI52)*(1-(1+BI52/$A$133)^-($A$133*BH52)))</f>
        <v>45.953542730489183</v>
      </c>
      <c r="BL52" s="48">
        <f t="shared" ref="BL52:BL53" si="14">BJ52+BK52</f>
        <v>101.1670741010918</v>
      </c>
      <c r="BM52" s="48">
        <f>BL48*100</f>
        <v>7.0000000000000009</v>
      </c>
      <c r="BN52" s="92"/>
      <c r="BO52" s="13">
        <v>10</v>
      </c>
      <c r="BP52" s="5">
        <f>$M$4+(BO52-1)*($M$3-$M$4)/(10-1)</f>
        <v>7.0000000000000007E-2</v>
      </c>
      <c r="BQ52" s="19">
        <f>$C$133*(1/(1+BP52/$A$133)^($A$133*BO52))</f>
        <v>50.834929213471781</v>
      </c>
      <c r="BR52" s="19">
        <f>$C$133*(($BS$49/BP52)*(1-(1+BP52/$A$133)^-($A$133*BO52)))</f>
        <v>49.165070786528219</v>
      </c>
      <c r="BS52" s="48">
        <f>BQ52+BR52</f>
        <v>100</v>
      </c>
      <c r="BT52" s="48"/>
      <c r="BU52" s="92"/>
      <c r="BV52" s="14" t="s">
        <v>35</v>
      </c>
      <c r="BW52" s="72" t="s">
        <v>22</v>
      </c>
      <c r="BX52" s="64" t="s">
        <v>23</v>
      </c>
      <c r="BY52" s="64" t="s">
        <v>24</v>
      </c>
      <c r="BZ52" s="73" t="s">
        <v>21</v>
      </c>
      <c r="CA52" s="73" t="s">
        <v>25</v>
      </c>
      <c r="CB52" s="95"/>
      <c r="CC52" s="14"/>
      <c r="CD52" s="14"/>
      <c r="CE52" s="12"/>
      <c r="CF52" s="12"/>
      <c r="CG52" s="48"/>
      <c r="CH52" s="12"/>
      <c r="CI52" s="90"/>
      <c r="CJ52" s="12"/>
      <c r="CK52" s="12"/>
      <c r="CL52" s="8" t="s">
        <v>57</v>
      </c>
      <c r="CM52" s="9"/>
      <c r="CN52" s="115">
        <f>P3</f>
        <v>7.0000000000000007E-2</v>
      </c>
      <c r="CO52" s="12"/>
      <c r="CP52" s="90"/>
      <c r="CQ52" s="12"/>
      <c r="CR52" s="12"/>
      <c r="CS52" s="12"/>
      <c r="CT52" s="12"/>
      <c r="CU52" s="12"/>
      <c r="CV52" s="12"/>
      <c r="CW52" s="90"/>
      <c r="CX52" s="12"/>
      <c r="CY52" s="12"/>
      <c r="CZ52" s="12"/>
      <c r="DA52" s="12"/>
      <c r="DB52" s="12"/>
      <c r="DC52" s="39"/>
      <c r="DD52" s="2"/>
    </row>
    <row r="53" spans="1:108" s="3" customFormat="1" ht="15.75" thickBot="1" x14ac:dyDescent="0.3">
      <c r="A53" s="40" t="s">
        <v>13</v>
      </c>
      <c r="B53" s="47">
        <f>AI53-L53</f>
        <v>1.2496502471200159</v>
      </c>
      <c r="C53" s="13">
        <v>4</v>
      </c>
      <c r="D53" s="5">
        <f>$N$4+(C53-1)*($N$3-$N$4)/(10-1)</f>
        <v>5.9333333333333342E-2</v>
      </c>
      <c r="E53" s="19">
        <f>$C$133*(1/(1+D53/$A$133)^($A$133*C53))</f>
        <v>79.408948880237602</v>
      </c>
      <c r="F53" s="19">
        <f>$C$133*(($G$44/D53)*(1-(1+D53/$A$133)^-($A$133*C53)))</f>
        <v>8.3289644978814206</v>
      </c>
      <c r="G53" s="48">
        <f t="shared" si="2"/>
        <v>87.737913378119018</v>
      </c>
      <c r="H53" s="48">
        <f t="shared" si="4"/>
        <v>2.4</v>
      </c>
      <c r="I53" s="48">
        <f t="shared" si="10"/>
        <v>14.4</v>
      </c>
      <c r="J53" s="49">
        <f>K52*D52+J52</f>
        <v>2.3558134870570386</v>
      </c>
      <c r="K53" s="49">
        <f t="shared" si="11"/>
        <v>16.75581348705704</v>
      </c>
      <c r="L53" s="50">
        <f t="shared" si="1"/>
        <v>104.49372686517606</v>
      </c>
      <c r="M53" s="51">
        <f>(L53-L52)/L52</f>
        <v>6.6876213075704877E-2</v>
      </c>
      <c r="N53" s="22"/>
      <c r="O53" s="40" t="s">
        <v>13</v>
      </c>
      <c r="P53" s="107">
        <v>0</v>
      </c>
      <c r="Q53" s="64">
        <v>0</v>
      </c>
      <c r="R53" s="64">
        <v>0</v>
      </c>
      <c r="S53" s="64">
        <v>0</v>
      </c>
      <c r="T53" s="64">
        <v>0</v>
      </c>
      <c r="U53" s="64">
        <f>(AD53/2)/BS53</f>
        <v>0.38418568932342595</v>
      </c>
      <c r="V53" s="64">
        <f>(AD53/2)/BZ53</f>
        <v>0.38866942100362067</v>
      </c>
      <c r="W53" s="64" t="str">
        <f>W52</f>
        <v>n/a</v>
      </c>
      <c r="X53" s="64" t="str">
        <f>X52</f>
        <v>n/a</v>
      </c>
      <c r="Y53" s="64" t="str">
        <f>Y52</f>
        <v>n/a</v>
      </c>
      <c r="Z53" s="111" t="str">
        <f>Z52</f>
        <v>n/a</v>
      </c>
      <c r="AA53" s="23">
        <f>(U53*BP53+BW53*V53)/SUM(U53:V53)</f>
        <v>6.9116268014673021E-2</v>
      </c>
      <c r="AB53" s="137">
        <f>(BO53+BV53)/2</f>
        <v>9.5</v>
      </c>
      <c r="AC53" s="65">
        <f>(U53*BS53+V53*BZ53)</f>
        <v>77.733884200724134</v>
      </c>
      <c r="AD53" s="65">
        <f>(T52*BL53+U52*BS53)</f>
        <v>77.733884200724134</v>
      </c>
      <c r="AE53" s="50">
        <f>T52*BL48*100+U52*BS49*100</f>
        <v>5.3526766508802979</v>
      </c>
      <c r="AF53" s="50">
        <f>AE53+AF52</f>
        <v>24.502627046396327</v>
      </c>
      <c r="AG53" s="50">
        <f>AH52*(AVERAGE(BP52,BI52))+AG52</f>
        <v>3.5068658651756124</v>
      </c>
      <c r="AH53" s="19">
        <f>AG53+AF53</f>
        <v>28.00949291157194</v>
      </c>
      <c r="AI53" s="50">
        <f>AC53+AH53</f>
        <v>105.74337711229607</v>
      </c>
      <c r="AJ53" s="66">
        <f>(AI53-AI52)/AI52</f>
        <v>7.7885214424264201E-2</v>
      </c>
      <c r="AL53" s="40" t="s">
        <v>13</v>
      </c>
      <c r="AM53" s="14"/>
      <c r="AN53" s="14"/>
      <c r="AO53" s="12"/>
      <c r="AP53" s="12"/>
      <c r="AQ53" s="12"/>
      <c r="AR53" s="12"/>
      <c r="AS53" s="90"/>
      <c r="AT53" s="13"/>
      <c r="AU53" s="12"/>
      <c r="AV53" s="12"/>
      <c r="AW53" s="12"/>
      <c r="AX53" s="12"/>
      <c r="AY53" s="12"/>
      <c r="AZ53" s="90"/>
      <c r="BA53" s="12"/>
      <c r="BB53" s="12"/>
      <c r="BC53" s="12"/>
      <c r="BD53" s="12"/>
      <c r="BE53" s="12"/>
      <c r="BF53" s="12"/>
      <c r="BG53" s="90"/>
      <c r="BH53" s="13">
        <v>8</v>
      </c>
      <c r="BI53" s="5">
        <f>$N$4+(BH53-1)*($N$3-$N$4)/(10-1)</f>
        <v>6.6444444444444445E-2</v>
      </c>
      <c r="BJ53" s="19">
        <f>$C$133*(1/(1+BI53/$A$133)^($A$133*BH53))</f>
        <v>59.771493931163789</v>
      </c>
      <c r="BK53" s="19">
        <f>$C$133*(($BL$48/BI53)*(1-(1+BI53/$A$133)^-($A$133*BH53)))</f>
        <v>42.381202045763914</v>
      </c>
      <c r="BL53" s="48">
        <f t="shared" si="14"/>
        <v>102.1526959769277</v>
      </c>
      <c r="BM53" s="48">
        <f>BM52*(1+BI52)+BL48*100</f>
        <v>14.477555555555558</v>
      </c>
      <c r="BN53" s="92"/>
      <c r="BO53" s="13">
        <v>9</v>
      </c>
      <c r="BP53" s="5">
        <f>$N$4+(BO53-1)*($N$3-$N$4)/(10-1)</f>
        <v>6.8222222222222226E-2</v>
      </c>
      <c r="BQ53" s="19">
        <f>$C$133*(1/(1+BP53/$A$133)^($A$133*BO53))</f>
        <v>55.21353137060261</v>
      </c>
      <c r="BR53" s="19">
        <f>$C$133*(($BS$49/BP53)*(1-(1+BP53/$A$133)^-($A$133*BO53)))</f>
        <v>45.953542730489183</v>
      </c>
      <c r="BS53" s="48">
        <f t="shared" ref="BS53:BS54" si="15">BQ53+BR53</f>
        <v>101.1670741010918</v>
      </c>
      <c r="BT53" s="48">
        <f>BS49*100</f>
        <v>7.0000000000000009</v>
      </c>
      <c r="BU53" s="92"/>
      <c r="BV53" s="13">
        <v>10</v>
      </c>
      <c r="BW53" s="5">
        <f>$N$4+(BV53-1)*($N$3-$N$4)/(10-1)</f>
        <v>7.0000000000000007E-2</v>
      </c>
      <c r="BX53" s="19">
        <f>$C$133*(1/(1+BW53/$A$133)^($A$133*BV53))</f>
        <v>50.834929213471781</v>
      </c>
      <c r="BY53" s="19">
        <f>$C$133*(($BZ$50/BW53)*(1-(1+BW53/$A$133)^-($A$133*BV53)))</f>
        <v>49.165070786528219</v>
      </c>
      <c r="BZ53" s="48">
        <f>BX53+BY53</f>
        <v>100</v>
      </c>
      <c r="CA53" s="48"/>
      <c r="CB53" s="92"/>
      <c r="CC53" s="14" t="s">
        <v>35</v>
      </c>
      <c r="CD53" s="72" t="s">
        <v>22</v>
      </c>
      <c r="CE53" s="64" t="s">
        <v>23</v>
      </c>
      <c r="CF53" s="64" t="s">
        <v>24</v>
      </c>
      <c r="CG53" s="73" t="s">
        <v>21</v>
      </c>
      <c r="CH53" s="73" t="s">
        <v>25</v>
      </c>
      <c r="CI53" s="95"/>
      <c r="CJ53" s="14"/>
      <c r="CK53" s="14"/>
      <c r="CL53" s="12"/>
      <c r="CM53" s="12"/>
      <c r="CN53" s="48"/>
      <c r="CO53" s="12"/>
      <c r="CP53" s="90"/>
      <c r="CQ53" s="12"/>
      <c r="CR53" s="12"/>
      <c r="CS53" s="8" t="s">
        <v>58</v>
      </c>
      <c r="CT53" s="9"/>
      <c r="CU53" s="115">
        <f>Q3</f>
        <v>7.0000000000000007E-2</v>
      </c>
      <c r="CV53" s="12"/>
      <c r="CW53" s="90"/>
      <c r="CX53" s="12"/>
      <c r="CY53" s="12"/>
      <c r="CZ53" s="12"/>
      <c r="DA53" s="12"/>
      <c r="DB53" s="12"/>
      <c r="DC53" s="39"/>
      <c r="DD53" s="11"/>
    </row>
    <row r="54" spans="1:108" s="7" customFormat="1" ht="15.75" thickBot="1" x14ac:dyDescent="0.3">
      <c r="A54" s="40" t="s">
        <v>14</v>
      </c>
      <c r="B54" s="47">
        <f>AI54-L54</f>
        <v>2.7815665919319912</v>
      </c>
      <c r="C54" s="13">
        <v>3</v>
      </c>
      <c r="D54" s="5">
        <f>$O$4+(C54-1)*($O$3-$O$4)/(10-1)</f>
        <v>5.7555555555555561E-2</v>
      </c>
      <c r="E54" s="19">
        <f>$C$133*(1/(1+D54/$A$133)^($A$133*C54))</f>
        <v>84.545486381141259</v>
      </c>
      <c r="F54" s="19">
        <f>$C$133*(($G$44/D54)*(1-(1+D54/$A$133)^-($A$133*C54)))</f>
        <v>6.4443531692538389</v>
      </c>
      <c r="G54" s="48">
        <f t="shared" si="2"/>
        <v>90.989839550395104</v>
      </c>
      <c r="H54" s="48">
        <f t="shared" si="4"/>
        <v>2.4</v>
      </c>
      <c r="I54" s="48">
        <f t="shared" si="10"/>
        <v>16.8</v>
      </c>
      <c r="J54" s="49">
        <f>K53*D53+J53</f>
        <v>3.3499917539557567</v>
      </c>
      <c r="K54" s="49">
        <f t="shared" si="11"/>
        <v>20.149991753955756</v>
      </c>
      <c r="L54" s="50">
        <f t="shared" si="1"/>
        <v>111.13983130435086</v>
      </c>
      <c r="M54" s="51">
        <f>(L54-L53)/L53</f>
        <v>6.3602903624540061E-2</v>
      </c>
      <c r="N54" s="22"/>
      <c r="O54" s="40" t="s">
        <v>14</v>
      </c>
      <c r="P54" s="107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f>(AD54/2)/BZ54</f>
        <v>0.38829902284777146</v>
      </c>
      <c r="W54" s="64">
        <f>(AD54/2)/CG54</f>
        <v>0.39283076017822033</v>
      </c>
      <c r="X54" s="64" t="str">
        <f>X53</f>
        <v>n/a</v>
      </c>
      <c r="Y54" s="64" t="str">
        <f>Y53</f>
        <v>n/a</v>
      </c>
      <c r="Z54" s="111" t="str">
        <f>Z53</f>
        <v>n/a</v>
      </c>
      <c r="AA54" s="23">
        <f>(V54*BW54+CD54*W54)/SUM(V54:W54)</f>
        <v>6.9116268014673021E-2</v>
      </c>
      <c r="AB54" s="137">
        <f>(BV54+CC54)/2</f>
        <v>9.5</v>
      </c>
      <c r="AC54" s="65">
        <f>(V54*BZ54+W54*CG54)</f>
        <v>78.566152035644066</v>
      </c>
      <c r="AD54" s="65">
        <f>(U53*BS54+V53*BZ54)</f>
        <v>78.566152035644066</v>
      </c>
      <c r="AE54" s="50">
        <f>U53*BS49*100+V53*BZ50*100</f>
        <v>5.4099857722893274</v>
      </c>
      <c r="AF54" s="50">
        <f>AE54+AF53</f>
        <v>29.912612818685655</v>
      </c>
      <c r="AG54" s="50">
        <f>AH53*(AVERAGE(BW53,BP53))+AG53</f>
        <v>5.4426330419531403</v>
      </c>
      <c r="AH54" s="19">
        <f>AG54+AF54</f>
        <v>35.355245860638796</v>
      </c>
      <c r="AI54" s="50">
        <f>AC54+AH54</f>
        <v>113.92139789628285</v>
      </c>
      <c r="AJ54" s="66">
        <f>(AI54-AI53)/AI53</f>
        <v>7.7338373402827731E-2</v>
      </c>
      <c r="AL54" s="40" t="s">
        <v>14</v>
      </c>
      <c r="AM54" s="14"/>
      <c r="AN54" s="14"/>
      <c r="AO54" s="12"/>
      <c r="AP54" s="12"/>
      <c r="AQ54" s="12"/>
      <c r="AR54" s="12"/>
      <c r="AS54" s="90"/>
      <c r="AT54" s="12"/>
      <c r="AU54" s="12"/>
      <c r="AV54" s="12"/>
      <c r="AW54" s="12"/>
      <c r="AX54" s="12"/>
      <c r="AY54" s="12"/>
      <c r="AZ54" s="90"/>
      <c r="BA54" s="12"/>
      <c r="BB54" s="12"/>
      <c r="BC54" s="12"/>
      <c r="BD54" s="12"/>
      <c r="BE54" s="12"/>
      <c r="BF54" s="12"/>
      <c r="BG54" s="90"/>
      <c r="BH54" s="12"/>
      <c r="BI54" s="12"/>
      <c r="BJ54" s="12"/>
      <c r="BK54" s="12"/>
      <c r="BL54" s="12"/>
      <c r="BM54" s="12"/>
      <c r="BN54" s="90"/>
      <c r="BO54" s="13">
        <v>8</v>
      </c>
      <c r="BP54" s="5">
        <f>$O$4+(BO54-1)*($O$3-$O$4)/(10-1)</f>
        <v>6.6444444444444445E-2</v>
      </c>
      <c r="BQ54" s="19">
        <f>$C$133*(1/(1+BP54/$A$133)^($A$133*BO54))</f>
        <v>59.771493931163789</v>
      </c>
      <c r="BR54" s="19">
        <f>$C$133*(($BS$49/BP54)*(1-(1+BP54/$A$133)^-($A$133*BO54)))</f>
        <v>42.381202045763914</v>
      </c>
      <c r="BS54" s="48">
        <f t="shared" si="15"/>
        <v>102.1526959769277</v>
      </c>
      <c r="BT54" s="48">
        <f>BT53*(1+BP53)+BS49*100</f>
        <v>14.477555555555558</v>
      </c>
      <c r="BU54" s="92"/>
      <c r="BV54" s="13">
        <v>9</v>
      </c>
      <c r="BW54" s="5">
        <f>$O$4+(BV54-1)*($O$3-$O$4)/(10-1)</f>
        <v>6.8222222222222226E-2</v>
      </c>
      <c r="BX54" s="19">
        <f>$C$133*(1/(1+BW54/$A$133)^($A$133*BV54))</f>
        <v>55.21353137060261</v>
      </c>
      <c r="BY54" s="19">
        <f>$C$133*(($BZ$50/BW54)*(1-(1+BW54/$A$133)^-($A$133*BV54)))</f>
        <v>45.953542730489183</v>
      </c>
      <c r="BZ54" s="48">
        <f t="shared" ref="BZ54:BZ55" si="16">BX54+BY54</f>
        <v>101.1670741010918</v>
      </c>
      <c r="CA54" s="48">
        <f>BZ50*100</f>
        <v>7.0000000000000009</v>
      </c>
      <c r="CB54" s="92"/>
      <c r="CC54" s="13">
        <v>10</v>
      </c>
      <c r="CD54" s="5">
        <f>$O$4+(CC54-1)*($O$3-$O$4)/(10-1)</f>
        <v>7.0000000000000007E-2</v>
      </c>
      <c r="CE54" s="19">
        <f>$C$133*(1/(1+CD54/$A$133)^($A$133*CC54))</f>
        <v>50.834929213471781</v>
      </c>
      <c r="CF54" s="19">
        <f>$C$133*(($CG$51/CD54)*(1-(1+CD54/$A$133)^-($A$133*CC54)))</f>
        <v>49.165070786528219</v>
      </c>
      <c r="CG54" s="48">
        <f>CE54+CF54</f>
        <v>100</v>
      </c>
      <c r="CH54" s="48"/>
      <c r="CI54" s="92"/>
      <c r="CJ54" s="14" t="s">
        <v>35</v>
      </c>
      <c r="CK54" s="72" t="s">
        <v>22</v>
      </c>
      <c r="CL54" s="64" t="s">
        <v>23</v>
      </c>
      <c r="CM54" s="64" t="s">
        <v>24</v>
      </c>
      <c r="CN54" s="73" t="s">
        <v>21</v>
      </c>
      <c r="CO54" s="73" t="s">
        <v>25</v>
      </c>
      <c r="CP54" s="95"/>
      <c r="CQ54" s="14"/>
      <c r="CR54" s="14"/>
      <c r="CS54" s="12"/>
      <c r="CT54" s="12"/>
      <c r="CU54" s="48"/>
      <c r="CV54" s="12"/>
      <c r="CW54" s="90"/>
      <c r="CX54" s="12"/>
      <c r="CY54" s="12"/>
      <c r="CZ54" s="8" t="s">
        <v>59</v>
      </c>
      <c r="DA54" s="9"/>
      <c r="DB54" s="115">
        <f>R3</f>
        <v>7.0000000000000007E-2</v>
      </c>
      <c r="DC54" s="39"/>
      <c r="DD54" s="11"/>
    </row>
    <row r="55" spans="1:108" s="7" customFormat="1" x14ac:dyDescent="0.25">
      <c r="A55" s="40" t="s">
        <v>15</v>
      </c>
      <c r="B55" s="47">
        <f>AI55-L55</f>
        <v>4.8249593171652094</v>
      </c>
      <c r="C55" s="13">
        <v>2</v>
      </c>
      <c r="D55" s="5">
        <f>$P$4+(C55-1)*($P$3-$P$4)/(10-1)</f>
        <v>5.5777777777777787E-2</v>
      </c>
      <c r="E55" s="19">
        <f>$C$133*(1/(1+D55/$A$133)^($A$133*C55))</f>
        <v>89.712914685764915</v>
      </c>
      <c r="F55" s="19">
        <f>$C$133*(($G$44/D55)*(1-(1+D55/$A$133)^-($A$133*C55)))</f>
        <v>4.4263155933760538</v>
      </c>
      <c r="G55" s="48">
        <f t="shared" si="2"/>
        <v>94.139230279140975</v>
      </c>
      <c r="H55" s="48">
        <f t="shared" si="4"/>
        <v>2.4</v>
      </c>
      <c r="I55" s="48">
        <f t="shared" si="10"/>
        <v>19.2</v>
      </c>
      <c r="J55" s="49">
        <f>K54*D54+J54</f>
        <v>4.5097357237945435</v>
      </c>
      <c r="K55" s="49">
        <f t="shared" si="11"/>
        <v>23.709735723794545</v>
      </c>
      <c r="L55" s="50">
        <f t="shared" si="1"/>
        <v>117.84896600293553</v>
      </c>
      <c r="M55" s="51">
        <f>(L55-L54)/L54</f>
        <v>6.0366608621278482E-2</v>
      </c>
      <c r="N55" s="22"/>
      <c r="O55" s="40" t="s">
        <v>15</v>
      </c>
      <c r="P55" s="107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f>(AD55/2)/CG55</f>
        <v>0.39245639630684831</v>
      </c>
      <c r="X55" s="64">
        <f>(AD55/2)/CN55</f>
        <v>0.39703665326622373</v>
      </c>
      <c r="Y55" s="64" t="str">
        <f>Y54</f>
        <v>n/a</v>
      </c>
      <c r="Z55" s="111" t="str">
        <f>Z54</f>
        <v>n/a</v>
      </c>
      <c r="AA55" s="23">
        <f>(W55*CD55+CK55*X55)/SUM(W55:X55)</f>
        <v>6.9116268014673021E-2</v>
      </c>
      <c r="AB55" s="137">
        <f>(CC55+CJ55)/2</f>
        <v>9.5</v>
      </c>
      <c r="AC55" s="65">
        <f>(W55*CG55+X55*CN55)</f>
        <v>79.407330653244742</v>
      </c>
      <c r="AD55" s="65">
        <f>(V54*BZ55+W54*CG55)</f>
        <v>79.407330653244742</v>
      </c>
      <c r="AE55" s="50">
        <f>V54*BZ50*100+W54*CG51*100</f>
        <v>5.4679084811819436</v>
      </c>
      <c r="AF55" s="50">
        <f>AE55+AF54</f>
        <v>35.380521299867596</v>
      </c>
      <c r="AG55" s="50">
        <f>AH54*(AVERAGE(CD54,BW54))+AG54</f>
        <v>7.8860733669884002</v>
      </c>
      <c r="AH55" s="19">
        <f>AG55+AF55</f>
        <v>43.266594666855994</v>
      </c>
      <c r="AI55" s="50">
        <f>AC55+AH55</f>
        <v>122.67392532010074</v>
      </c>
      <c r="AJ55" s="66">
        <f>(AI55-AI54)/AI54</f>
        <v>7.6829529705968153E-2</v>
      </c>
      <c r="AL55" s="40" t="s">
        <v>15</v>
      </c>
      <c r="AM55" s="14"/>
      <c r="AN55" s="14"/>
      <c r="AO55" s="12"/>
      <c r="AP55" s="12"/>
      <c r="AQ55" s="12"/>
      <c r="AR55" s="12"/>
      <c r="AS55" s="90"/>
      <c r="AT55" s="12"/>
      <c r="AU55" s="12"/>
      <c r="AV55" s="12"/>
      <c r="AW55" s="12"/>
      <c r="AX55" s="12"/>
      <c r="AY55" s="12"/>
      <c r="AZ55" s="90"/>
      <c r="BA55" s="12"/>
      <c r="BB55" s="12"/>
      <c r="BC55" s="12"/>
      <c r="BD55" s="12"/>
      <c r="BE55" s="12"/>
      <c r="BF55" s="12"/>
      <c r="BG55" s="90"/>
      <c r="BH55" s="12"/>
      <c r="BI55" s="12"/>
      <c r="BJ55" s="12"/>
      <c r="BK55" s="12"/>
      <c r="BL55" s="12"/>
      <c r="BM55" s="12"/>
      <c r="BN55" s="90"/>
      <c r="BO55" s="12"/>
      <c r="BP55" s="12"/>
      <c r="BQ55" s="12"/>
      <c r="BR55" s="12"/>
      <c r="BS55" s="12"/>
      <c r="BT55" s="12"/>
      <c r="BU55" s="90"/>
      <c r="BV55" s="13">
        <v>8</v>
      </c>
      <c r="BW55" s="5">
        <f>$P$4+(BV55-1)*($P$3-$P$4)/(10-1)</f>
        <v>6.6444444444444445E-2</v>
      </c>
      <c r="BX55" s="19">
        <f>$C$133*(1/(1+BW55/$A$133)^($A$133*BV55))</f>
        <v>59.771493931163789</v>
      </c>
      <c r="BY55" s="19">
        <f>$C$133*(($BZ$50/BW55)*(1-(1+BW55/$A$133)^-($A$133*BV55)))</f>
        <v>42.381202045763914</v>
      </c>
      <c r="BZ55" s="48">
        <f t="shared" si="16"/>
        <v>102.1526959769277</v>
      </c>
      <c r="CA55" s="48">
        <f>CA54*(1+BW54)+BZ50*100</f>
        <v>14.477555555555558</v>
      </c>
      <c r="CB55" s="92"/>
      <c r="CC55" s="13">
        <v>9</v>
      </c>
      <c r="CD55" s="5">
        <f>$P$4+(CC55-1)*($P$3-$P$4)/(10-1)</f>
        <v>6.8222222222222226E-2</v>
      </c>
      <c r="CE55" s="19">
        <f>$C$133*(1/(1+CD55/$A$133)^($A$133*CC55))</f>
        <v>55.21353137060261</v>
      </c>
      <c r="CF55" s="19">
        <f>$C$133*(($CG$51/CD55)*(1-(1+CD55/$A$133)^-($A$133*CC55)))</f>
        <v>45.953542730489183</v>
      </c>
      <c r="CG55" s="48">
        <f t="shared" ref="CG55:CG56" si="17">CE55+CF55</f>
        <v>101.1670741010918</v>
      </c>
      <c r="CH55" s="48">
        <f>CG51*100</f>
        <v>7.0000000000000009</v>
      </c>
      <c r="CI55" s="92"/>
      <c r="CJ55" s="13">
        <v>10</v>
      </c>
      <c r="CK55" s="5">
        <f>$P$4+(CJ55-1)*($P$3-$P$4)/(10-1)</f>
        <v>7.0000000000000007E-2</v>
      </c>
      <c r="CL55" s="19">
        <f>$C$133*(1/(1+CK55/$A$133)^($A$133*CJ55))</f>
        <v>50.834929213471781</v>
      </c>
      <c r="CM55" s="19">
        <f>$C$133*(($CN$52/CK55)*(1-(1+CK55/$A$133)^-($A$133*CJ55)))</f>
        <v>49.165070786528219</v>
      </c>
      <c r="CN55" s="48">
        <f>CL55+CM55</f>
        <v>100</v>
      </c>
      <c r="CO55" s="48"/>
      <c r="CP55" s="92"/>
      <c r="CQ55" s="14" t="s">
        <v>35</v>
      </c>
      <c r="CR55" s="72" t="s">
        <v>22</v>
      </c>
      <c r="CS55" s="64" t="s">
        <v>23</v>
      </c>
      <c r="CT55" s="64" t="s">
        <v>24</v>
      </c>
      <c r="CU55" s="73" t="s">
        <v>21</v>
      </c>
      <c r="CV55" s="73" t="s">
        <v>25</v>
      </c>
      <c r="CW55" s="95"/>
      <c r="CX55" s="14"/>
      <c r="CY55" s="14"/>
      <c r="CZ55" s="12"/>
      <c r="DA55" s="12"/>
      <c r="DB55" s="48"/>
      <c r="DC55" s="39"/>
      <c r="DD55" s="11"/>
    </row>
    <row r="56" spans="1:108" s="7" customFormat="1" x14ac:dyDescent="0.25">
      <c r="A56" s="40" t="s">
        <v>16</v>
      </c>
      <c r="B56" s="47">
        <f>AI56-L56</f>
        <v>7.4548516193361394</v>
      </c>
      <c r="C56" s="13">
        <v>1</v>
      </c>
      <c r="D56" s="5">
        <f>$Q$4+(C56-1)*($Q$3-$Q$4)/(10-1)</f>
        <v>5.4000000000000006E-2</v>
      </c>
      <c r="E56" s="19">
        <f>$C$133*(1/(1+D56/$A$133)^($A$133*C56))</f>
        <v>94.876660341555976</v>
      </c>
      <c r="F56" s="19">
        <f>$C$133*(($G$44/D56)*(1-(1+D56/$A$133)^-($A$133*C56)))</f>
        <v>2.2770398481973446</v>
      </c>
      <c r="G56" s="48">
        <f t="shared" si="2"/>
        <v>97.153700189753323</v>
      </c>
      <c r="H56" s="48">
        <f t="shared" si="4"/>
        <v>2.4</v>
      </c>
      <c r="I56" s="48">
        <f t="shared" si="10"/>
        <v>21.599999999999998</v>
      </c>
      <c r="J56" s="49">
        <f>K55*D55+J55</f>
        <v>5.832212094166195</v>
      </c>
      <c r="K56" s="49">
        <f t="shared" si="11"/>
        <v>27.432212094166193</v>
      </c>
      <c r="L56" s="50">
        <f t="shared" si="1"/>
        <v>124.58591228391951</v>
      </c>
      <c r="M56" s="51">
        <f>(L56-L55)/L55</f>
        <v>5.7165934581183971E-2</v>
      </c>
      <c r="N56" s="22"/>
      <c r="O56" s="40" t="s">
        <v>16</v>
      </c>
      <c r="P56" s="107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f>(AD56/2)/CN56</f>
        <v>0.39665828121988522</v>
      </c>
      <c r="Y56" s="64">
        <f>(AD56/2)/CU56</f>
        <v>0.40128757728983833</v>
      </c>
      <c r="Z56" s="111" t="str">
        <f>Z55</f>
        <v>n/a</v>
      </c>
      <c r="AA56" s="23">
        <f>(X56*CK56+CR56*Y56)/SUM(X56:Y56)</f>
        <v>6.9116268014673021E-2</v>
      </c>
      <c r="AB56" s="137">
        <f>(CJ56+CQ56)/2</f>
        <v>9.5</v>
      </c>
      <c r="AC56" s="65">
        <f>(X56*CN56+Y56*CU56)</f>
        <v>80.257515457967671</v>
      </c>
      <c r="AD56" s="65">
        <f>(W55*CG56+X55*CN56)</f>
        <v>80.257515457967671</v>
      </c>
      <c r="AE56" s="50">
        <f>W55*CG51*100+X55*CN52*100</f>
        <v>5.5264513470115055</v>
      </c>
      <c r="AF56" s="50">
        <f>AE56+AF55</f>
        <v>40.906972646879098</v>
      </c>
      <c r="AG56" s="50">
        <f>AH55*(AVERAGE(CK55,CD55))+AG55</f>
        <v>10.876275798408892</v>
      </c>
      <c r="AH56" s="19">
        <f>AG56+AF56</f>
        <v>51.783248445287988</v>
      </c>
      <c r="AI56" s="50">
        <f>AC56+AH56</f>
        <v>132.04076390325565</v>
      </c>
      <c r="AJ56" s="66">
        <f>(AI56-AI55)/AI55</f>
        <v>7.6355578895135529E-2</v>
      </c>
      <c r="AL56" s="40" t="s">
        <v>16</v>
      </c>
      <c r="AM56" s="14"/>
      <c r="AN56" s="14"/>
      <c r="AO56" s="12"/>
      <c r="AP56" s="12"/>
      <c r="AQ56" s="12"/>
      <c r="AR56" s="12"/>
      <c r="AS56" s="90"/>
      <c r="AT56" s="12"/>
      <c r="AU56" s="12"/>
      <c r="AV56" s="12"/>
      <c r="AW56" s="12"/>
      <c r="AX56" s="12"/>
      <c r="AY56" s="12"/>
      <c r="AZ56" s="90"/>
      <c r="BA56" s="12"/>
      <c r="BB56" s="12"/>
      <c r="BC56" s="12"/>
      <c r="BD56" s="12"/>
      <c r="BE56" s="12"/>
      <c r="BF56" s="12"/>
      <c r="BG56" s="90"/>
      <c r="BH56" s="12"/>
      <c r="BI56" s="12"/>
      <c r="BJ56" s="12"/>
      <c r="BK56" s="12"/>
      <c r="BL56" s="12"/>
      <c r="BM56" s="12"/>
      <c r="BN56" s="90"/>
      <c r="BO56" s="12"/>
      <c r="BP56" s="12"/>
      <c r="BQ56" s="12"/>
      <c r="BR56" s="12"/>
      <c r="BS56" s="12"/>
      <c r="BT56" s="75"/>
      <c r="BU56" s="96"/>
      <c r="BV56" s="75"/>
      <c r="BW56" s="75"/>
      <c r="BX56" s="75"/>
      <c r="BY56" s="75"/>
      <c r="BZ56" s="75"/>
      <c r="CA56" s="75"/>
      <c r="CB56" s="90"/>
      <c r="CC56" s="13">
        <v>8</v>
      </c>
      <c r="CD56" s="5">
        <f>$Q$4+(CC56-1)*($Q$3-$Q$4)/(10-1)</f>
        <v>6.6444444444444445E-2</v>
      </c>
      <c r="CE56" s="19">
        <f>$C$133*(1/(1+CD56/$A$133)^($A$133*CC56))</f>
        <v>59.771493931163789</v>
      </c>
      <c r="CF56" s="19">
        <f>$C$133*(($CG$51/CD56)*(1-(1+CD56/$A$133)^-($A$133*CC56)))</f>
        <v>42.381202045763914</v>
      </c>
      <c r="CG56" s="48">
        <f t="shared" si="17"/>
        <v>102.1526959769277</v>
      </c>
      <c r="CH56" s="48">
        <f>CH55*(1+CD55)+CG51*100</f>
        <v>14.477555555555558</v>
      </c>
      <c r="CI56" s="92"/>
      <c r="CJ56" s="13">
        <v>9</v>
      </c>
      <c r="CK56" s="5">
        <f>$Q$4+(CJ56-1)*($Q$3-$Q$4)/(10-1)</f>
        <v>6.8222222222222226E-2</v>
      </c>
      <c r="CL56" s="19">
        <f>$C$133*(1/(1+CK56/$A$133)^($A$133*CJ56))</f>
        <v>55.21353137060261</v>
      </c>
      <c r="CM56" s="19">
        <f>$C$133*(($CN$52/CK56)*(1-(1+CK56/$A$133)^-($A$133*CJ56)))</f>
        <v>45.953542730489183</v>
      </c>
      <c r="CN56" s="48">
        <f t="shared" ref="CN56:CN57" si="18">CL56+CM56</f>
        <v>101.1670741010918</v>
      </c>
      <c r="CO56" s="48">
        <f>CN52*100</f>
        <v>7.0000000000000009</v>
      </c>
      <c r="CP56" s="92"/>
      <c r="CQ56" s="13">
        <v>10</v>
      </c>
      <c r="CR56" s="5">
        <f>$Q$4+(CQ56-1)*($Q$3-$Q$4)/(10-1)</f>
        <v>7.0000000000000007E-2</v>
      </c>
      <c r="CS56" s="19">
        <f>$C$133*(1/(1+CR56/$A$133)^($A$133*CQ56))</f>
        <v>50.834929213471781</v>
      </c>
      <c r="CT56" s="19">
        <f>$C$133*(($CU$53/CR56)*(1-(1+CR56/$A$133)^-($A$133*CQ56)))</f>
        <v>49.165070786528219</v>
      </c>
      <c r="CU56" s="48">
        <f>CS56+CT56</f>
        <v>100</v>
      </c>
      <c r="CV56" s="48"/>
      <c r="CW56" s="92"/>
      <c r="CX56" s="14" t="s">
        <v>35</v>
      </c>
      <c r="CY56" s="72" t="s">
        <v>22</v>
      </c>
      <c r="CZ56" s="64" t="s">
        <v>23</v>
      </c>
      <c r="DA56" s="64" t="s">
        <v>24</v>
      </c>
      <c r="DB56" s="73" t="s">
        <v>21</v>
      </c>
      <c r="DC56" s="76" t="s">
        <v>25</v>
      </c>
      <c r="DD56" s="11"/>
    </row>
    <row r="57" spans="1:108" s="18" customFormat="1" ht="15.75" thickBot="1" x14ac:dyDescent="0.3">
      <c r="A57" s="81" t="s">
        <v>17</v>
      </c>
      <c r="B57" s="82">
        <f>AI57-L57</f>
        <v>10.750918620315758</v>
      </c>
      <c r="C57" s="52">
        <v>0</v>
      </c>
      <c r="D57" s="79">
        <f>$Q$4+(C57-1)*($Q$3-$Q$4)/(10-1)</f>
        <v>5.2222222222222225E-2</v>
      </c>
      <c r="E57" s="53">
        <f>$C$133*(1/(1+D57/$A$133)^($A$133*C57))</f>
        <v>100</v>
      </c>
      <c r="F57" s="53">
        <f>$C$133*(($G$44/D57)*(1-(1+D57/$A$133)^-($A$133*C57)))</f>
        <v>0</v>
      </c>
      <c r="G57" s="54">
        <f t="shared" si="2"/>
        <v>100</v>
      </c>
      <c r="H57" s="54">
        <f t="shared" si="4"/>
        <v>2.4</v>
      </c>
      <c r="I57" s="54">
        <f t="shared" si="10"/>
        <v>23.999999999999996</v>
      </c>
      <c r="J57" s="56">
        <f>K56*D56+J56</f>
        <v>7.3135515472511692</v>
      </c>
      <c r="K57" s="56">
        <f t="shared" si="11"/>
        <v>31.313551547251166</v>
      </c>
      <c r="L57" s="57">
        <f>(G57+I57+J57)</f>
        <v>131.31355154725117</v>
      </c>
      <c r="M57" s="83">
        <f>(L57-L56)/L56</f>
        <v>5.3999999999999999E-2</v>
      </c>
      <c r="N57" s="22"/>
      <c r="O57" s="81" t="s">
        <v>17</v>
      </c>
      <c r="P57" s="108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f>(AD57/2)/CU57</f>
        <v>0.40090515415449224</v>
      </c>
      <c r="Z57" s="112">
        <f>(AD57/2)/DB57</f>
        <v>0.4055840143785715</v>
      </c>
      <c r="AA57" s="85">
        <f>(Y57*CR57+CY57*Z57)/SUM(Y57:Z57)</f>
        <v>6.9116268014673021E-2</v>
      </c>
      <c r="AB57" s="138">
        <f>(CQ57+CX57)/2</f>
        <v>9.5</v>
      </c>
      <c r="AC57" s="86">
        <f>(Y57*CU57+Z57*DB57)</f>
        <v>81.116802875714299</v>
      </c>
      <c r="AD57" s="86">
        <f>(X56*CN57+Y56*CU57)</f>
        <v>81.116802875714299</v>
      </c>
      <c r="AE57" s="57">
        <f>X56*CN52*100+Y56*CU53*100</f>
        <v>5.5856210095680652</v>
      </c>
      <c r="AF57" s="57">
        <f>AE57+AF56</f>
        <v>46.492593656447163</v>
      </c>
      <c r="AG57" s="57">
        <f>AH56*(AVERAGE(CR56,CK56))+AG56</f>
        <v>14.455073635405462</v>
      </c>
      <c r="AH57" s="53">
        <f>AG57+AF57</f>
        <v>60.947667291852625</v>
      </c>
      <c r="AI57" s="57">
        <f>AC57+AH57</f>
        <v>142.06447016756692</v>
      </c>
      <c r="AJ57" s="87">
        <f>(AI57-AI56)/AI56</f>
        <v>7.5913725186075837E-2</v>
      </c>
      <c r="AL57" s="81" t="s">
        <v>17</v>
      </c>
      <c r="AM57" s="77"/>
      <c r="AN57" s="77"/>
      <c r="AO57" s="55"/>
      <c r="AP57" s="55"/>
      <c r="AQ57" s="55"/>
      <c r="AR57" s="55"/>
      <c r="AS57" s="93"/>
      <c r="AT57" s="55"/>
      <c r="AU57" s="55"/>
      <c r="AV57" s="55"/>
      <c r="AW57" s="55"/>
      <c r="AX57" s="55"/>
      <c r="AY57" s="55"/>
      <c r="AZ57" s="93"/>
      <c r="BA57" s="55"/>
      <c r="BB57" s="55"/>
      <c r="BC57" s="55"/>
      <c r="BD57" s="55"/>
      <c r="BE57" s="55"/>
      <c r="BF57" s="55"/>
      <c r="BG57" s="93"/>
      <c r="BH57" s="55"/>
      <c r="BI57" s="55"/>
      <c r="BJ57" s="55"/>
      <c r="BK57" s="55"/>
      <c r="BL57" s="55"/>
      <c r="BM57" s="55"/>
      <c r="BN57" s="93"/>
      <c r="BO57" s="55"/>
      <c r="BP57" s="55"/>
      <c r="BQ57" s="55"/>
      <c r="BR57" s="55"/>
      <c r="BS57" s="55"/>
      <c r="BT57" s="55"/>
      <c r="BU57" s="93"/>
      <c r="BV57" s="55"/>
      <c r="BW57" s="55"/>
      <c r="BX57" s="55"/>
      <c r="BY57" s="55"/>
      <c r="BZ57" s="55"/>
      <c r="CA57" s="78"/>
      <c r="CB57" s="93"/>
      <c r="CC57" s="55"/>
      <c r="CD57" s="55"/>
      <c r="CE57" s="55"/>
      <c r="CF57" s="55"/>
      <c r="CG57" s="55"/>
      <c r="CH57" s="55"/>
      <c r="CI57" s="93"/>
      <c r="CJ57" s="52">
        <v>8</v>
      </c>
      <c r="CK57" s="79">
        <f>$R$4+(CJ57-1)*($R$3-$R$4)/(10-1)</f>
        <v>6.6444444444444445E-2</v>
      </c>
      <c r="CL57" s="53">
        <f>$C$133*(1/(1+CK57/$A$133)^($A$133*CJ57))</f>
        <v>59.771493931163789</v>
      </c>
      <c r="CM57" s="53">
        <f>$C$133*(($CN$52/CK57)*(1-(1+CK57/$A$133)^-($A$133*CJ57)))</f>
        <v>42.381202045763914</v>
      </c>
      <c r="CN57" s="54">
        <f t="shared" si="18"/>
        <v>102.1526959769277</v>
      </c>
      <c r="CO57" s="54">
        <f>CO56*(1+CK56)+CN52*100</f>
        <v>14.477555555555558</v>
      </c>
      <c r="CP57" s="97"/>
      <c r="CQ57" s="52">
        <v>9</v>
      </c>
      <c r="CR57" s="79">
        <f>$R$4+(CQ57-1)*($R$3-$R$4)/(10-1)</f>
        <v>6.8222222222222226E-2</v>
      </c>
      <c r="CS57" s="53">
        <f>$C$133*(1/(1+CR57/$A$133)^($A$133*CQ57))</f>
        <v>55.21353137060261</v>
      </c>
      <c r="CT57" s="53">
        <f>$C$133*(($CU$53/CR57)*(1-(1+CR57/$A$133)^-($A$133*CQ57)))</f>
        <v>45.953542730489183</v>
      </c>
      <c r="CU57" s="54">
        <f t="shared" ref="CU57" si="19">CS57+CT57</f>
        <v>101.1670741010918</v>
      </c>
      <c r="CV57" s="54">
        <f>CU53*100</f>
        <v>7.0000000000000009</v>
      </c>
      <c r="CW57" s="97"/>
      <c r="CX57" s="52">
        <v>10</v>
      </c>
      <c r="CY57" s="79">
        <f>$R$4+(CX57-1)*($R$3-$R$4)/(10-1)</f>
        <v>7.0000000000000007E-2</v>
      </c>
      <c r="CZ57" s="53">
        <f>$C$133*(1/(1+CY57/$A$133)^($A$133*CX57))</f>
        <v>50.834929213471781</v>
      </c>
      <c r="DA57" s="53">
        <f>$C$133*(($DB$54/CY57)*(1-(1+CY57/$A$133)^-($A$133*CX57)))</f>
        <v>49.165070786528219</v>
      </c>
      <c r="DB57" s="54">
        <f>CZ57+DA57</f>
        <v>100</v>
      </c>
      <c r="DC57" s="80"/>
      <c r="DD57" s="11"/>
    </row>
    <row r="58" spans="1:108" x14ac:dyDescent="0.25">
      <c r="CX58" s="13"/>
      <c r="CY58" s="5"/>
      <c r="CZ58" s="4"/>
      <c r="DA58" s="4"/>
      <c r="DB58" s="2"/>
      <c r="DC58" s="2"/>
    </row>
    <row r="59" spans="1:108" s="18" customFormat="1" x14ac:dyDescent="0.25">
      <c r="A59" s="10"/>
      <c r="B59" s="10"/>
      <c r="C59" s="3"/>
      <c r="D59" s="17"/>
      <c r="E59" s="4"/>
      <c r="F59" s="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"/>
      <c r="AN59" s="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</row>
    <row r="60" spans="1:108" s="18" customFormat="1" x14ac:dyDescent="0.25">
      <c r="A60" s="10"/>
      <c r="B60" s="10"/>
      <c r="C60" s="3"/>
      <c r="D60" s="17"/>
      <c r="E60" s="4"/>
      <c r="F60" s="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"/>
      <c r="AN60" s="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</row>
    <row r="61" spans="1:108" s="4" customFormat="1" x14ac:dyDescent="0.25">
      <c r="A61" s="10"/>
      <c r="B61" s="10"/>
      <c r="C61" s="3"/>
      <c r="D61" s="17"/>
      <c r="F61" s="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"/>
      <c r="AN61" s="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</row>
    <row r="62" spans="1:108" s="4" customFormat="1" x14ac:dyDescent="0.25">
      <c r="A62" s="10"/>
      <c r="B62" s="10"/>
      <c r="C62" s="3"/>
      <c r="D62" s="17"/>
      <c r="F62" s="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"/>
      <c r="AN62" s="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</row>
    <row r="63" spans="1:108" s="4" customFormat="1" x14ac:dyDescent="0.25">
      <c r="A63" s="10"/>
      <c r="B63" s="10"/>
      <c r="C63" s="3"/>
      <c r="D63" s="17"/>
      <c r="F63" s="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"/>
      <c r="AN63" s="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</row>
    <row r="64" spans="1:108" s="4" customFormat="1" x14ac:dyDescent="0.25">
      <c r="A64" s="10"/>
      <c r="B64" s="10"/>
      <c r="C64" s="3"/>
      <c r="D64" s="17"/>
      <c r="F64" s="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"/>
      <c r="AN64" s="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</row>
    <row r="132" spans="1:3" x14ac:dyDescent="0.25">
      <c r="A132" s="11" t="s">
        <v>5</v>
      </c>
      <c r="B132" s="4"/>
      <c r="C132" s="11" t="s">
        <v>0</v>
      </c>
    </row>
    <row r="133" spans="1:3" x14ac:dyDescent="0.25">
      <c r="A133" s="11">
        <v>1</v>
      </c>
      <c r="B133" s="4"/>
      <c r="C133" s="18">
        <v>100</v>
      </c>
    </row>
    <row r="134" spans="1:3" x14ac:dyDescent="0.25">
      <c r="A134" s="4"/>
      <c r="B134" s="4"/>
      <c r="C134" s="11"/>
    </row>
  </sheetData>
  <mergeCells count="2">
    <mergeCell ref="P45:Z45"/>
    <mergeCell ref="H1:R1"/>
  </mergeCells>
  <conditionalFormatting sqref="P47:Z57">
    <cfRule type="cellIs" dxfId="0" priority="1" operator="between">
      <formula>0.1</formula>
      <formula>2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Serafin</dc:creator>
  <cp:lastModifiedBy>Kristen Serafin</cp:lastModifiedBy>
  <dcterms:created xsi:type="dcterms:W3CDTF">2016-11-20T21:01:55Z</dcterms:created>
  <dcterms:modified xsi:type="dcterms:W3CDTF">2016-12-03T03:53:30Z</dcterms:modified>
</cp:coreProperties>
</file>